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4820" windowHeight="11640"/>
  </bookViews>
  <sheets>
    <sheet name="SW" sheetId="2" r:id="rId1"/>
    <sheet name="KS " sheetId="3" r:id="rId2"/>
  </sheets>
  <definedNames>
    <definedName name="_xlnm.Print_Area" localSheetId="1">'KS '!$A$1:$L$31</definedName>
    <definedName name="_xlnm.Print_Area" localSheetId="0">SW!$A$1:$L$147</definedName>
  </definedNames>
  <calcPr calcId="145621"/>
</workbook>
</file>

<file path=xl/calcChain.xml><?xml version="1.0" encoding="utf-8"?>
<calcChain xmlns="http://schemas.openxmlformats.org/spreadsheetml/2006/main">
  <c r="J73" i="3" l="1"/>
  <c r="E121" i="2" l="1"/>
  <c r="E140" i="2"/>
  <c r="L90" i="3"/>
  <c r="I23" i="3" l="1"/>
  <c r="J24" i="3" s="1"/>
  <c r="I51" i="3"/>
  <c r="H22" i="3"/>
  <c r="I78" i="3"/>
  <c r="H77" i="3"/>
  <c r="H50" i="3"/>
  <c r="L80" i="3"/>
  <c r="K79" i="3"/>
  <c r="K82" i="3" s="1"/>
  <c r="J79" i="3"/>
  <c r="J82" i="3" s="1"/>
  <c r="E76" i="3"/>
  <c r="J75" i="3"/>
  <c r="K75" i="3"/>
  <c r="J74" i="3"/>
  <c r="K74" i="3" s="1"/>
  <c r="L73" i="3"/>
  <c r="J48" i="3"/>
  <c r="K48" i="3"/>
  <c r="J46" i="3"/>
  <c r="L46" i="3" s="1"/>
  <c r="K46" i="3"/>
  <c r="J47" i="3"/>
  <c r="K47" i="3"/>
  <c r="L47" i="3"/>
  <c r="J45" i="3"/>
  <c r="L45" i="3" s="1"/>
  <c r="J27" i="3" l="1"/>
  <c r="J30" i="3" s="1"/>
  <c r="K24" i="3"/>
  <c r="K27" i="3" s="1"/>
  <c r="L25" i="3"/>
  <c r="J52" i="3"/>
  <c r="J55" i="3" s="1"/>
  <c r="J58" i="3" s="1"/>
  <c r="J85" i="3"/>
  <c r="L74" i="3"/>
  <c r="K73" i="3"/>
  <c r="K45" i="3"/>
  <c r="J89" i="3" l="1"/>
  <c r="K52" i="3"/>
  <c r="K55" i="3" s="1"/>
  <c r="J90" i="3"/>
  <c r="L53" i="3"/>
  <c r="K89" i="3" l="1"/>
  <c r="H14" i="3" l="1"/>
  <c r="H13" i="3"/>
  <c r="K14" i="3"/>
  <c r="L14" i="3"/>
  <c r="K15" i="3"/>
  <c r="L15" i="3"/>
  <c r="K16" i="3"/>
  <c r="L16" i="3"/>
  <c r="K17" i="3"/>
  <c r="L17" i="3"/>
  <c r="K18" i="3"/>
  <c r="L18" i="3"/>
  <c r="K19" i="3"/>
  <c r="L19" i="3"/>
  <c r="K13" i="3"/>
  <c r="L13" i="3"/>
  <c r="J20" i="3"/>
  <c r="J14" i="3"/>
  <c r="J15" i="3"/>
  <c r="J16" i="3"/>
  <c r="J17" i="3"/>
  <c r="J18" i="3"/>
  <c r="J19" i="3"/>
  <c r="J13" i="3"/>
  <c r="J64" i="2"/>
  <c r="J61" i="2"/>
  <c r="K61" i="2"/>
  <c r="J59" i="2"/>
  <c r="K59" i="2"/>
  <c r="J57" i="2"/>
  <c r="L57" i="2" s="1"/>
  <c r="K57" i="2"/>
  <c r="J58" i="2"/>
  <c r="K58" i="2"/>
  <c r="L58" i="2"/>
  <c r="J23" i="2"/>
  <c r="J20" i="2"/>
  <c r="J18" i="2"/>
  <c r="J14" i="2"/>
  <c r="L14" i="2" s="1"/>
  <c r="K14" i="2"/>
  <c r="J15" i="2"/>
  <c r="K15" i="2"/>
  <c r="L15" i="2"/>
  <c r="J16" i="2"/>
  <c r="K16" i="2"/>
  <c r="L16" i="2"/>
  <c r="J17" i="2"/>
  <c r="K17" i="2" s="1"/>
  <c r="J56" i="2"/>
  <c r="L56" i="2" s="1"/>
  <c r="J13" i="2"/>
  <c r="L13" i="2" s="1"/>
  <c r="J142" i="2"/>
  <c r="J139" i="2"/>
  <c r="L137" i="2"/>
  <c r="J137" i="2"/>
  <c r="K137" i="2" s="1"/>
  <c r="L117" i="2"/>
  <c r="K117" i="2"/>
  <c r="J117" i="2"/>
  <c r="L17" i="2" l="1"/>
  <c r="K56" i="2"/>
  <c r="K13" i="2"/>
  <c r="K140" i="2"/>
  <c r="I78" i="2" l="1"/>
  <c r="I97" i="2"/>
  <c r="D117" i="2"/>
  <c r="E117" i="2" s="1"/>
  <c r="E122" i="2"/>
  <c r="F118" i="2"/>
  <c r="B118" i="2"/>
  <c r="K121" i="2" s="1"/>
  <c r="I117" i="2"/>
  <c r="H117" i="2"/>
  <c r="I116" i="2"/>
  <c r="H116" i="2"/>
  <c r="D116" i="2"/>
  <c r="E116" i="2" s="1"/>
  <c r="E82" i="2"/>
  <c r="L82" i="2" s="1"/>
  <c r="B79" i="2"/>
  <c r="E81" i="2" s="1"/>
  <c r="K81" i="2" s="1"/>
  <c r="L81" i="2" s="1"/>
  <c r="H78" i="2"/>
  <c r="D78" i="2"/>
  <c r="E78" i="2" s="1"/>
  <c r="I37" i="2"/>
  <c r="E41" i="2"/>
  <c r="L41" i="2" s="1"/>
  <c r="B38" i="2"/>
  <c r="E40" i="2" s="1"/>
  <c r="K40" i="2" s="1"/>
  <c r="L40" i="2" s="1"/>
  <c r="H37" i="2"/>
  <c r="D37" i="2"/>
  <c r="E37" i="2" s="1"/>
  <c r="E39" i="2" s="1"/>
  <c r="E101" i="2"/>
  <c r="L101" i="2" s="1"/>
  <c r="B98" i="2"/>
  <c r="E100" i="2" s="1"/>
  <c r="K100" i="2" s="1"/>
  <c r="L100" i="2" s="1"/>
  <c r="H97" i="2"/>
  <c r="D97" i="2"/>
  <c r="E97" i="2" s="1"/>
  <c r="D57" i="2"/>
  <c r="E57" i="2" s="1"/>
  <c r="D58" i="2"/>
  <c r="E58" i="2" s="1"/>
  <c r="E63" i="2"/>
  <c r="E62" i="2"/>
  <c r="K62" i="2" s="1"/>
  <c r="K64" i="2" s="1"/>
  <c r="F59" i="2"/>
  <c r="B59" i="2"/>
  <c r="I58" i="2"/>
  <c r="H58" i="2"/>
  <c r="I57" i="2"/>
  <c r="H57" i="2"/>
  <c r="I56" i="2"/>
  <c r="H56" i="2"/>
  <c r="D56" i="2"/>
  <c r="E56" i="2" s="1"/>
  <c r="I14" i="2"/>
  <c r="I15" i="2"/>
  <c r="I16" i="2"/>
  <c r="I17" i="2"/>
  <c r="H14" i="2"/>
  <c r="H15" i="2"/>
  <c r="H16" i="2"/>
  <c r="H17" i="2"/>
  <c r="D17" i="2"/>
  <c r="E17" i="2" s="1"/>
  <c r="D14" i="2"/>
  <c r="E14" i="2" s="1"/>
  <c r="D15" i="2"/>
  <c r="E15" i="2" s="1"/>
  <c r="D16" i="2"/>
  <c r="E16" i="2" s="1"/>
  <c r="C81" i="3"/>
  <c r="E81" i="3" s="1"/>
  <c r="D74" i="3"/>
  <c r="E84" i="3"/>
  <c r="K84" i="3" s="1"/>
  <c r="E83" i="3"/>
  <c r="K83" i="3" s="1"/>
  <c r="K85" i="3" s="1"/>
  <c r="F75" i="3"/>
  <c r="B75" i="3"/>
  <c r="I74" i="3"/>
  <c r="H74" i="3"/>
  <c r="E74" i="3"/>
  <c r="I73" i="3"/>
  <c r="H73" i="3"/>
  <c r="H75" i="3" s="1"/>
  <c r="H82" i="3" s="1"/>
  <c r="H85" i="3" s="1"/>
  <c r="D73" i="3"/>
  <c r="E73" i="3" s="1"/>
  <c r="C54" i="3"/>
  <c r="E49" i="3" s="1"/>
  <c r="E54" i="3" s="1"/>
  <c r="C26" i="3"/>
  <c r="D46" i="3"/>
  <c r="D47" i="3"/>
  <c r="E47" i="3" s="1"/>
  <c r="E57" i="3"/>
  <c r="K57" i="3" s="1"/>
  <c r="E56" i="3"/>
  <c r="K56" i="3" s="1"/>
  <c r="K58" i="3" s="1"/>
  <c r="F48" i="3"/>
  <c r="B48" i="3"/>
  <c r="I47" i="3"/>
  <c r="H47" i="3"/>
  <c r="I46" i="3"/>
  <c r="H46" i="3"/>
  <c r="E46" i="3"/>
  <c r="I45" i="3"/>
  <c r="H45" i="3"/>
  <c r="D45" i="3"/>
  <c r="E45" i="3" s="1"/>
  <c r="I14" i="3"/>
  <c r="I15" i="3"/>
  <c r="I16" i="3"/>
  <c r="I17" i="3"/>
  <c r="I18" i="3"/>
  <c r="I19" i="3"/>
  <c r="I13" i="3"/>
  <c r="H15" i="3"/>
  <c r="H16" i="3"/>
  <c r="H17" i="3"/>
  <c r="H18" i="3"/>
  <c r="H19" i="3"/>
  <c r="E18" i="3"/>
  <c r="D14" i="3"/>
  <c r="E14" i="3" s="1"/>
  <c r="D15" i="3"/>
  <c r="E15" i="3" s="1"/>
  <c r="D16" i="3"/>
  <c r="E16" i="3" s="1"/>
  <c r="D17" i="3"/>
  <c r="E17" i="3" s="1"/>
  <c r="D18" i="3"/>
  <c r="D19" i="3"/>
  <c r="E19" i="3" s="1"/>
  <c r="B20" i="3"/>
  <c r="L116" i="2" l="1"/>
  <c r="J116" i="2"/>
  <c r="J118" i="2" s="1"/>
  <c r="J120" i="2" s="1"/>
  <c r="J123" i="2" s="1"/>
  <c r="I39" i="2"/>
  <c r="I42" i="2" s="1"/>
  <c r="J37" i="2"/>
  <c r="K37" i="2"/>
  <c r="J78" i="2"/>
  <c r="I80" i="2"/>
  <c r="I83" i="2" s="1"/>
  <c r="L78" i="2"/>
  <c r="L80" i="2" s="1"/>
  <c r="L83" i="2" s="1"/>
  <c r="K97" i="2"/>
  <c r="K99" i="2" s="1"/>
  <c r="K102" i="2" s="1"/>
  <c r="J97" i="2"/>
  <c r="J99" i="2" s="1"/>
  <c r="I99" i="2"/>
  <c r="L97" i="2"/>
  <c r="H39" i="2"/>
  <c r="H42" i="2" s="1"/>
  <c r="H99" i="2"/>
  <c r="H102" i="2" s="1"/>
  <c r="L99" i="2"/>
  <c r="L102" i="2" s="1"/>
  <c r="I118" i="2"/>
  <c r="I120" i="2" s="1"/>
  <c r="I123" i="2" s="1"/>
  <c r="H80" i="2"/>
  <c r="H83" i="2" s="1"/>
  <c r="I102" i="2"/>
  <c r="H118" i="2"/>
  <c r="H120" i="2" s="1"/>
  <c r="H123" i="2" s="1"/>
  <c r="E118" i="2"/>
  <c r="C79" i="2"/>
  <c r="E80" i="2"/>
  <c r="E83" i="2" s="1"/>
  <c r="E42" i="2"/>
  <c r="C38" i="2"/>
  <c r="K39" i="2"/>
  <c r="K42" i="2" s="1"/>
  <c r="C98" i="2"/>
  <c r="E99" i="2"/>
  <c r="E102" i="2" s="1"/>
  <c r="E59" i="2"/>
  <c r="E61" i="2" s="1"/>
  <c r="E64" i="2" s="1"/>
  <c r="H59" i="2"/>
  <c r="H61" i="2" s="1"/>
  <c r="H64" i="2" s="1"/>
  <c r="I59" i="2"/>
  <c r="I61" i="2" s="1"/>
  <c r="I64" i="2" s="1"/>
  <c r="I75" i="3"/>
  <c r="I82" i="3" s="1"/>
  <c r="I85" i="3" s="1"/>
  <c r="E75" i="3"/>
  <c r="L75" i="3"/>
  <c r="L82" i="3" s="1"/>
  <c r="H48" i="3"/>
  <c r="H55" i="3" s="1"/>
  <c r="H58" i="3" s="1"/>
  <c r="I48" i="3"/>
  <c r="I55" i="3" s="1"/>
  <c r="I58" i="3" s="1"/>
  <c r="E48" i="3"/>
  <c r="F18" i="2"/>
  <c r="I137" i="2"/>
  <c r="I13" i="2"/>
  <c r="E28" i="3"/>
  <c r="K28" i="3" s="1"/>
  <c r="K30" i="3" s="1"/>
  <c r="F20" i="3"/>
  <c r="K116" i="2" l="1"/>
  <c r="L37" i="2"/>
  <c r="L39" i="2" s="1"/>
  <c r="L42" i="2" s="1"/>
  <c r="J39" i="2"/>
  <c r="J42" i="2" s="1"/>
  <c r="K78" i="2"/>
  <c r="K80" i="2" s="1"/>
  <c r="K83" i="2" s="1"/>
  <c r="J80" i="2"/>
  <c r="J83" i="2" s="1"/>
  <c r="J102" i="2"/>
  <c r="J146" i="2" s="1"/>
  <c r="L118" i="2"/>
  <c r="L120" i="2" s="1"/>
  <c r="L123" i="2" s="1"/>
  <c r="L59" i="2"/>
  <c r="L61" i="2" s="1"/>
  <c r="L64" i="2" s="1"/>
  <c r="C118" i="2"/>
  <c r="E120" i="2"/>
  <c r="E123" i="2" s="1"/>
  <c r="C59" i="2"/>
  <c r="L85" i="3"/>
  <c r="E82" i="3"/>
  <c r="E85" i="3" s="1"/>
  <c r="C75" i="3"/>
  <c r="L48" i="3"/>
  <c r="L55" i="3" s="1"/>
  <c r="L58" i="3" s="1"/>
  <c r="E55" i="3"/>
  <c r="E58" i="3" s="1"/>
  <c r="C48" i="3"/>
  <c r="E29" i="3"/>
  <c r="E21" i="3"/>
  <c r="D13" i="3"/>
  <c r="E13" i="3" s="1"/>
  <c r="J145" i="2" l="1"/>
  <c r="K29" i="3"/>
  <c r="H20" i="3"/>
  <c r="H27" i="3" s="1"/>
  <c r="E20" i="3"/>
  <c r="I20" i="3"/>
  <c r="I27" i="3" s="1"/>
  <c r="H30" i="3" l="1"/>
  <c r="H90" i="3" s="1"/>
  <c r="H89" i="3"/>
  <c r="I30" i="3"/>
  <c r="I90" i="3" s="1"/>
  <c r="I89" i="3"/>
  <c r="L20" i="3"/>
  <c r="L27" i="3" s="1"/>
  <c r="L89" i="3" s="1"/>
  <c r="E26" i="3"/>
  <c r="C20" i="3"/>
  <c r="E27" i="3"/>
  <c r="H13" i="2"/>
  <c r="E30" i="3" l="1"/>
  <c r="E90" i="3" s="1"/>
  <c r="E89" i="3"/>
  <c r="G74" i="3"/>
  <c r="G73" i="3"/>
  <c r="G45" i="3"/>
  <c r="G14" i="3"/>
  <c r="G18" i="3"/>
  <c r="G15" i="3"/>
  <c r="G19" i="3"/>
  <c r="G17" i="3"/>
  <c r="G47" i="3"/>
  <c r="G46" i="3"/>
  <c r="G16" i="3"/>
  <c r="G13" i="3"/>
  <c r="L30" i="3"/>
  <c r="K20" i="3" l="1"/>
  <c r="G75" i="3"/>
  <c r="F82" i="3" s="1"/>
  <c r="F85" i="3" s="1"/>
  <c r="G48" i="3"/>
  <c r="F55" i="3" s="1"/>
  <c r="F58" i="3" s="1"/>
  <c r="K90" i="3"/>
  <c r="G20" i="3"/>
  <c r="F27" i="3" s="1"/>
  <c r="F30" i="3" l="1"/>
  <c r="F90" i="3" s="1"/>
  <c r="F89" i="3"/>
  <c r="E141" i="2"/>
  <c r="B138" i="2"/>
  <c r="L140" i="2" s="1"/>
  <c r="I139" i="2"/>
  <c r="I142" i="2" s="1"/>
  <c r="H137" i="2"/>
  <c r="D137" i="2"/>
  <c r="B18" i="2"/>
  <c r="E21" i="2" s="1"/>
  <c r="K21" i="2" s="1"/>
  <c r="K23" i="2" s="1"/>
  <c r="D13" i="2"/>
  <c r="E13" i="2" s="1"/>
  <c r="H139" i="2" l="1"/>
  <c r="H142" i="2" s="1"/>
  <c r="E137" i="2"/>
  <c r="E139" i="2" s="1"/>
  <c r="E142" i="2" s="1"/>
  <c r="L141" i="2"/>
  <c r="K139" i="2" l="1"/>
  <c r="K142" i="2" s="1"/>
  <c r="C138" i="2"/>
  <c r="L139" i="2" l="1"/>
  <c r="L142" i="2" s="1"/>
  <c r="E22" i="2"/>
  <c r="I18" i="2" l="1"/>
  <c r="I20" i="2" s="1"/>
  <c r="I145" i="2" s="1"/>
  <c r="E18" i="2"/>
  <c r="H18" i="2"/>
  <c r="H20" i="2" s="1"/>
  <c r="H145" i="2" s="1"/>
  <c r="L18" i="2" l="1"/>
  <c r="C18" i="2"/>
  <c r="E20" i="2"/>
  <c r="E145" i="2" s="1"/>
  <c r="I23" i="2"/>
  <c r="I146" i="2" s="1"/>
  <c r="H23" i="2"/>
  <c r="H146" i="2" s="1"/>
  <c r="G117" i="2" l="1"/>
  <c r="G116" i="2"/>
  <c r="G79" i="2"/>
  <c r="G78" i="2"/>
  <c r="F80" i="2" s="1"/>
  <c r="F83" i="2" s="1"/>
  <c r="G38" i="2"/>
  <c r="G37" i="2"/>
  <c r="F39" i="2" s="1"/>
  <c r="F42" i="2" s="1"/>
  <c r="G97" i="2"/>
  <c r="F99" i="2" s="1"/>
  <c r="F102" i="2" s="1"/>
  <c r="G98" i="2"/>
  <c r="G58" i="2"/>
  <c r="G17" i="2"/>
  <c r="G57" i="2"/>
  <c r="G56" i="2"/>
  <c r="G14" i="2"/>
  <c r="G15" i="2"/>
  <c r="G16" i="2"/>
  <c r="G138" i="2"/>
  <c r="G137" i="2"/>
  <c r="F139" i="2" s="1"/>
  <c r="F142" i="2" s="1"/>
  <c r="G13" i="2"/>
  <c r="L20" i="2"/>
  <c r="L145" i="2" s="1"/>
  <c r="E23" i="2"/>
  <c r="E146" i="2" s="1"/>
  <c r="G118" i="2" l="1"/>
  <c r="F120" i="2" s="1"/>
  <c r="F123" i="2" s="1"/>
  <c r="K118" i="2"/>
  <c r="K120" i="2" s="1"/>
  <c r="K123" i="2" s="1"/>
  <c r="G59" i="2"/>
  <c r="F61" i="2" s="1"/>
  <c r="F64" i="2" s="1"/>
  <c r="G18" i="2"/>
  <c r="F20" i="2" s="1"/>
  <c r="K18" i="2"/>
  <c r="K20" i="2" s="1"/>
  <c r="L23" i="2"/>
  <c r="L146" i="2" s="1"/>
  <c r="K145" i="2" l="1"/>
  <c r="F145" i="2"/>
  <c r="F23" i="2"/>
  <c r="F146" i="2" s="1"/>
  <c r="K146" i="2"/>
</calcChain>
</file>

<file path=xl/sharedStrings.xml><?xml version="1.0" encoding="utf-8"?>
<sst xmlns="http://schemas.openxmlformats.org/spreadsheetml/2006/main" count="471" uniqueCount="88">
  <si>
    <t>S1</t>
  </si>
  <si>
    <t>b - szerokość wykopu [m]</t>
  </si>
  <si>
    <t>dz - śr. zew. rury [m]</t>
  </si>
  <si>
    <t>Punkt</t>
  </si>
  <si>
    <t>Odległość [m]</t>
  </si>
  <si>
    <t>Kolizje [szt]</t>
  </si>
  <si>
    <t>dodatkowy wykop pod studnie</t>
  </si>
  <si>
    <t>obsyka studni</t>
  </si>
  <si>
    <t>nadmiar gruntu</t>
  </si>
  <si>
    <t>ogółem</t>
  </si>
  <si>
    <t>mechaniczna zasypka studni</t>
  </si>
  <si>
    <t>dzs - śr.zew.studni [m]</t>
  </si>
  <si>
    <t>c - ilość studni [szt]</t>
  </si>
  <si>
    <t>1'</t>
  </si>
  <si>
    <t>2'</t>
  </si>
  <si>
    <t>3'</t>
  </si>
  <si>
    <t>4'</t>
  </si>
  <si>
    <t>5'</t>
  </si>
  <si>
    <t>6'</t>
  </si>
  <si>
    <t>7'</t>
  </si>
  <si>
    <t>8'</t>
  </si>
  <si>
    <t>9'</t>
  </si>
  <si>
    <t>11'</t>
  </si>
  <si>
    <t>12'</t>
  </si>
  <si>
    <t>14'</t>
  </si>
  <si>
    <t>15'</t>
  </si>
  <si>
    <t>d - gr. Podsypki [m]</t>
  </si>
  <si>
    <r>
      <t>Nadmiar gruntu [m</t>
    </r>
    <r>
      <rPr>
        <vertAlign val="superscript"/>
        <sz val="11"/>
        <color indexed="8"/>
        <rFont val="Arial"/>
        <family val="2"/>
        <charset val="238"/>
      </rPr>
      <t>3</t>
    </r>
    <r>
      <rPr>
        <sz val="11"/>
        <color indexed="8"/>
        <rFont val="Arial"/>
        <family val="2"/>
        <charset val="238"/>
      </rPr>
      <t>]</t>
    </r>
  </si>
  <si>
    <r>
      <t>Przekopy przy kolizjach [m</t>
    </r>
    <r>
      <rPr>
        <vertAlign val="superscript"/>
        <sz val="11"/>
        <color indexed="8"/>
        <rFont val="Czcionka tekstu podstawowego"/>
        <charset val="238"/>
      </rPr>
      <t>3</t>
    </r>
    <r>
      <rPr>
        <sz val="11"/>
        <color theme="1"/>
        <rFont val="Czcionka tekstu podstawowego"/>
        <family val="2"/>
        <charset val="238"/>
      </rPr>
      <t>]</t>
    </r>
  </si>
  <si>
    <r>
      <t>Objętość wykopu [m</t>
    </r>
    <r>
      <rPr>
        <vertAlign val="superscript"/>
        <sz val="11"/>
        <color indexed="8"/>
        <rFont val="Arial"/>
        <family val="2"/>
        <charset val="238"/>
      </rPr>
      <t>3</t>
    </r>
    <r>
      <rPr>
        <sz val="11"/>
        <color indexed="8"/>
        <rFont val="Arial"/>
        <family val="2"/>
        <charset val="238"/>
      </rPr>
      <t>]</t>
    </r>
  </si>
  <si>
    <t>a - szerokość robocza wykopu [m]</t>
  </si>
  <si>
    <t>Zagłębienie dna kanału [m]</t>
  </si>
  <si>
    <t>Średnie zagłębienie [m]</t>
  </si>
  <si>
    <t>humus  [m]</t>
  </si>
  <si>
    <t>naw.</t>
  </si>
  <si>
    <t>ogółem  bez naw.</t>
  </si>
  <si>
    <t>Bilans mas ziemnych - wodociągi</t>
  </si>
  <si>
    <t>W2</t>
  </si>
  <si>
    <t>W1</t>
  </si>
  <si>
    <t>S2</t>
  </si>
  <si>
    <t>st. Dn 1,0</t>
  </si>
  <si>
    <t>Sieć Dn200mm</t>
  </si>
  <si>
    <t>S3</t>
  </si>
  <si>
    <t>hśr. Studni Dn 1,0m</t>
  </si>
  <si>
    <t>komory przew. I odbiorcza</t>
  </si>
  <si>
    <t>W4</t>
  </si>
  <si>
    <t>Hp1</t>
  </si>
  <si>
    <t>W3</t>
  </si>
  <si>
    <t>ogółem bez naw.</t>
  </si>
  <si>
    <t>Bilans mas ziemnych - kanalizacja sanitarna</t>
  </si>
  <si>
    <t>Sieć Dn110</t>
  </si>
  <si>
    <t>Hydrant</t>
  </si>
  <si>
    <t>ogółem bez humusu i naw.</t>
  </si>
  <si>
    <t>naw. [m]</t>
  </si>
  <si>
    <t xml:space="preserve">ogółem </t>
  </si>
  <si>
    <t>ogółem  bez humusu i naw.</t>
  </si>
  <si>
    <r>
      <t>Przekopy przy kolizjach [m</t>
    </r>
    <r>
      <rPr>
        <vertAlign val="superscript"/>
        <sz val="11"/>
        <color indexed="8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]</t>
    </r>
  </si>
  <si>
    <t>S4</t>
  </si>
  <si>
    <t>S0</t>
  </si>
  <si>
    <t xml:space="preserve">Mechaniczna                        </t>
  </si>
  <si>
    <t>Objętość zasypki z gruntu rodzimego [m3]</t>
  </si>
  <si>
    <t>pods. pod studnie</t>
  </si>
  <si>
    <t xml:space="preserve">Podsypki </t>
  </si>
  <si>
    <t>kostka</t>
  </si>
  <si>
    <r>
      <t>Objętość podsypek i obspek z piasku [m</t>
    </r>
    <r>
      <rPr>
        <vertAlign val="superscript"/>
        <sz val="11"/>
        <color indexed="8"/>
        <rFont val="Arial"/>
        <family val="2"/>
        <charset val="238"/>
      </rPr>
      <t>3</t>
    </r>
    <r>
      <rPr>
        <sz val="11"/>
        <color indexed="8"/>
        <rFont val="Arial"/>
        <family val="2"/>
        <charset val="238"/>
      </rPr>
      <t>]</t>
    </r>
  </si>
  <si>
    <t xml:space="preserve">Obsypki </t>
  </si>
  <si>
    <t xml:space="preserve">Ręczne </t>
  </si>
  <si>
    <t>S5</t>
  </si>
  <si>
    <t>S6</t>
  </si>
  <si>
    <t>S7</t>
  </si>
  <si>
    <t>S8</t>
  </si>
  <si>
    <t>S9</t>
  </si>
  <si>
    <t>S10</t>
  </si>
  <si>
    <t>S11</t>
  </si>
  <si>
    <t>S12</t>
  </si>
  <si>
    <t>W5</t>
  </si>
  <si>
    <t>W6</t>
  </si>
  <si>
    <t>W7</t>
  </si>
  <si>
    <t>W9</t>
  </si>
  <si>
    <t>W8</t>
  </si>
  <si>
    <t>Hp2</t>
  </si>
  <si>
    <t>Hp4</t>
  </si>
  <si>
    <t>Hp3</t>
  </si>
  <si>
    <t>a</t>
  </si>
  <si>
    <t>Objętość zasypki z piasku [m3]</t>
  </si>
  <si>
    <t xml:space="preserve">Mechaniczna                </t>
  </si>
  <si>
    <t>10'</t>
  </si>
  <si>
    <t>13'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</si>
</sst>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>
    <font>
      <sz val="11"/>
      <color theme="1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1"/>
      <name val="Czcionka tekstu podstawowego"/>
      <family val="2"/>
      <charset val="238"/>
    </font>
    <font>
      <vertAlign val="superscript"/>
      <sz val="11"/>
      <color indexed="8"/>
      <name val="Czcionka tekstu podstawowego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5" fillId="0" borderId="0" xfId="0" applyFont="1"/>
    <xf numFmtId="2" fontId="0" fillId="0" borderId="0" xfId="0" applyNumberFormat="1"/>
    <xf numFmtId="2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5" fillId="0" borderId="1" xfId="0" applyFont="1" applyFill="1" applyBorder="1" applyAlignment="1">
      <alignment horizontal="center" vertical="center"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0" fontId="5" fillId="2" borderId="1" xfId="0" quotePrefix="1" applyFont="1" applyFill="1" applyBorder="1" applyAlignment="1">
      <alignment horizontal="center"/>
    </xf>
    <xf numFmtId="1" fontId="5" fillId="2" borderId="1" xfId="0" quotePrefix="1" applyNumberFormat="1" applyFont="1" applyFill="1" applyBorder="1" applyAlignment="1">
      <alignment horizontal="center"/>
    </xf>
    <xf numFmtId="1" fontId="0" fillId="0" borderId="1" xfId="0" applyNumberFormat="1" applyBorder="1"/>
    <xf numFmtId="1" fontId="3" fillId="0" borderId="1" xfId="0" applyNumberFormat="1" applyFont="1" applyFill="1" applyBorder="1"/>
    <xf numFmtId="0" fontId="0" fillId="0" borderId="4" xfId="0" applyBorder="1"/>
    <xf numFmtId="2" fontId="0" fillId="4" borderId="5" xfId="0" applyNumberFormat="1" applyFill="1" applyBorder="1"/>
    <xf numFmtId="2" fontId="0" fillId="3" borderId="5" xfId="0" applyNumberFormat="1" applyFill="1" applyBorder="1"/>
    <xf numFmtId="2" fontId="0" fillId="5" borderId="1" xfId="0" applyNumberFormat="1" applyFill="1" applyBorder="1"/>
    <xf numFmtId="2" fontId="0" fillId="0" borderId="3" xfId="0" applyNumberFormat="1" applyBorder="1"/>
    <xf numFmtId="2" fontId="3" fillId="0" borderId="1" xfId="0" applyNumberFormat="1" applyFont="1" applyFill="1" applyBorder="1"/>
    <xf numFmtId="164" fontId="0" fillId="0" borderId="1" xfId="0" applyNumberFormat="1" applyBorder="1"/>
    <xf numFmtId="0" fontId="8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2" fontId="5" fillId="0" borderId="1" xfId="0" applyNumberFormat="1" applyFont="1" applyBorder="1"/>
    <xf numFmtId="3" fontId="5" fillId="0" borderId="1" xfId="0" applyNumberFormat="1" applyFont="1" applyBorder="1"/>
    <xf numFmtId="164" fontId="5" fillId="0" borderId="1" xfId="0" applyNumberFormat="1" applyFont="1" applyBorder="1"/>
    <xf numFmtId="4" fontId="5" fillId="0" borderId="1" xfId="0" applyNumberFormat="1" applyFont="1" applyBorder="1"/>
    <xf numFmtId="0" fontId="11" fillId="0" borderId="1" xfId="0" applyFont="1" applyFill="1" applyBorder="1"/>
    <xf numFmtId="3" fontId="11" fillId="0" borderId="1" xfId="0" applyNumberFormat="1" applyFont="1" applyFill="1" applyBorder="1"/>
    <xf numFmtId="0" fontId="5" fillId="0" borderId="4" xfId="0" applyFont="1" applyBorder="1"/>
    <xf numFmtId="0" fontId="5" fillId="0" borderId="2" xfId="0" applyFont="1" applyBorder="1"/>
    <xf numFmtId="164" fontId="5" fillId="0" borderId="2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2" fontId="5" fillId="4" borderId="1" xfId="0" applyNumberFormat="1" applyFont="1" applyFill="1" applyBorder="1"/>
    <xf numFmtId="2" fontId="5" fillId="3" borderId="1" xfId="0" applyNumberFormat="1" applyFont="1" applyFill="1" applyBorder="1"/>
    <xf numFmtId="2" fontId="5" fillId="4" borderId="5" xfId="0" applyNumberFormat="1" applyFont="1" applyFill="1" applyBorder="1"/>
    <xf numFmtId="2" fontId="5" fillId="3" borderId="5" xfId="0" applyNumberFormat="1" applyFont="1" applyFill="1" applyBorder="1"/>
    <xf numFmtId="2" fontId="5" fillId="5" borderId="1" xfId="0" applyNumberFormat="1" applyFont="1" applyFill="1" applyBorder="1"/>
    <xf numFmtId="0" fontId="5" fillId="0" borderId="7" xfId="0" applyFont="1" applyBorder="1"/>
    <xf numFmtId="0" fontId="6" fillId="7" borderId="0" xfId="0" applyFont="1" applyFill="1" applyAlignment="1">
      <alignment horizontal="left"/>
    </xf>
    <xf numFmtId="0" fontId="6" fillId="7" borderId="0" xfId="0" applyFont="1" applyFill="1" applyAlignment="1">
      <alignment horizontal="center"/>
    </xf>
    <xf numFmtId="0" fontId="5" fillId="7" borderId="0" xfId="0" applyFont="1" applyFill="1" applyAlignment="1">
      <alignment horizontal="right"/>
    </xf>
    <xf numFmtId="4" fontId="5" fillId="7" borderId="0" xfId="0" applyNumberFormat="1" applyFont="1" applyFill="1" applyAlignment="1">
      <alignment horizontal="center"/>
    </xf>
    <xf numFmtId="0" fontId="5" fillId="7" borderId="0" xfId="0" applyFont="1" applyFill="1"/>
    <xf numFmtId="4" fontId="5" fillId="7" borderId="0" xfId="0" applyNumberFormat="1" applyFont="1" applyFill="1" applyAlignment="1">
      <alignment horizontal="right"/>
    </xf>
    <xf numFmtId="2" fontId="5" fillId="7" borderId="0" xfId="0" applyNumberFormat="1" applyFont="1" applyFill="1"/>
    <xf numFmtId="2" fontId="5" fillId="7" borderId="0" xfId="0" applyNumberFormat="1" applyFont="1" applyFill="1" applyAlignment="1">
      <alignment horizontal="right"/>
    </xf>
    <xf numFmtId="0" fontId="5" fillId="7" borderId="0" xfId="0" applyFont="1" applyFill="1" applyBorder="1" applyAlignment="1">
      <alignment horizontal="right"/>
    </xf>
    <xf numFmtId="0" fontId="6" fillId="7" borderId="0" xfId="0" applyFont="1" applyFill="1" applyBorder="1" applyAlignment="1">
      <alignment horizontal="right"/>
    </xf>
    <xf numFmtId="0" fontId="5" fillId="7" borderId="0" xfId="0" applyFont="1" applyFill="1" applyBorder="1" applyAlignment="1">
      <alignment horizontal="left"/>
    </xf>
    <xf numFmtId="0" fontId="6" fillId="7" borderId="0" xfId="0" applyFont="1" applyFill="1" applyBorder="1" applyAlignment="1">
      <alignment horizontal="left"/>
    </xf>
    <xf numFmtId="2" fontId="5" fillId="7" borderId="0" xfId="0" applyNumberFormat="1" applyFont="1" applyFill="1" applyBorder="1"/>
    <xf numFmtId="0" fontId="5" fillId="7" borderId="0" xfId="0" applyFont="1" applyFill="1" applyBorder="1"/>
    <xf numFmtId="0" fontId="5" fillId="7" borderId="6" xfId="0" applyFont="1" applyFill="1" applyBorder="1" applyAlignment="1">
      <alignment horizontal="right"/>
    </xf>
    <xf numFmtId="2" fontId="5" fillId="7" borderId="6" xfId="0" applyNumberFormat="1" applyFont="1" applyFill="1" applyBorder="1"/>
    <xf numFmtId="4" fontId="9" fillId="7" borderId="0" xfId="0" applyNumberFormat="1" applyFont="1" applyFill="1" applyAlignment="1">
      <alignment horizontal="center"/>
    </xf>
    <xf numFmtId="0" fontId="0" fillId="7" borderId="0" xfId="0" applyFill="1"/>
    <xf numFmtId="2" fontId="0" fillId="7" borderId="0" xfId="0" applyNumberFormat="1" applyFill="1"/>
    <xf numFmtId="0" fontId="8" fillId="7" borderId="0" xfId="0" applyFont="1" applyFill="1" applyBorder="1" applyAlignment="1">
      <alignment horizontal="left"/>
    </xf>
    <xf numFmtId="0" fontId="8" fillId="7" borderId="0" xfId="0" applyFont="1" applyFill="1" applyBorder="1" applyAlignment="1">
      <alignment horizontal="right"/>
    </xf>
    <xf numFmtId="0" fontId="7" fillId="7" borderId="0" xfId="0" applyFont="1" applyFill="1" applyBorder="1" applyAlignment="1">
      <alignment horizontal="right"/>
    </xf>
    <xf numFmtId="2" fontId="0" fillId="7" borderId="0" xfId="0" applyNumberFormat="1" applyFill="1" applyBorder="1"/>
    <xf numFmtId="0" fontId="5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7" borderId="0" xfId="0" applyFont="1" applyFill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2" fontId="5" fillId="7" borderId="0" xfId="0" applyNumberFormat="1" applyFont="1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7" borderId="0" xfId="0" applyFont="1" applyFill="1" applyAlignment="1">
      <alignment horizontal="center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2" fontId="0" fillId="0" borderId="8" xfId="0" applyNumberFormat="1" applyBorder="1"/>
    <xf numFmtId="0" fontId="0" fillId="0" borderId="0" xfId="0" applyFill="1"/>
    <xf numFmtId="2" fontId="5" fillId="7" borderId="0" xfId="0" applyNumberFormat="1" applyFont="1" applyFill="1" applyBorder="1" applyAlignment="1">
      <alignment horizontal="center"/>
    </xf>
    <xf numFmtId="0" fontId="5" fillId="0" borderId="1" xfId="0" applyNumberFormat="1" applyFont="1" applyBorder="1"/>
    <xf numFmtId="2" fontId="5" fillId="4" borderId="4" xfId="0" applyNumberFormat="1" applyFont="1" applyFill="1" applyBorder="1" applyAlignment="1">
      <alignment horizontal="center"/>
    </xf>
    <xf numFmtId="2" fontId="5" fillId="4" borderId="3" xfId="0" applyNumberFormat="1" applyFont="1" applyFill="1" applyBorder="1" applyAlignment="1">
      <alignment horizontal="center"/>
    </xf>
    <xf numFmtId="2" fontId="5" fillId="5" borderId="4" xfId="0" applyNumberFormat="1" applyFont="1" applyFill="1" applyBorder="1" applyAlignment="1">
      <alignment horizontal="center"/>
    </xf>
    <xf numFmtId="2" fontId="5" fillId="5" borderId="3" xfId="0" applyNumberFormat="1" applyFont="1" applyFill="1" applyBorder="1" applyAlignment="1">
      <alignment horizontal="center"/>
    </xf>
    <xf numFmtId="0" fontId="6" fillId="7" borderId="0" xfId="0" applyFont="1" applyFill="1" applyAlignment="1">
      <alignment horizontal="center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6" borderId="4" xfId="0" applyNumberFormat="1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right"/>
    </xf>
    <xf numFmtId="2" fontId="0" fillId="4" borderId="4" xfId="0" applyNumberFormat="1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2" fontId="0" fillId="5" borderId="4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7" borderId="0" xfId="0" applyFont="1" applyFill="1" applyAlignment="1">
      <alignment horizontal="center"/>
    </xf>
    <xf numFmtId="2" fontId="5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6" borderId="4" xfId="0" applyNumberFormat="1" applyFill="1" applyBorder="1" applyAlignment="1">
      <alignment horizontal="center"/>
    </xf>
    <xf numFmtId="164" fontId="0" fillId="6" borderId="3" xfId="0" applyNumberFormat="1" applyFill="1" applyBorder="1" applyAlignment="1">
      <alignment horizontal="center"/>
    </xf>
    <xf numFmtId="0" fontId="5" fillId="7" borderId="0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7"/>
  <sheetViews>
    <sheetView tabSelected="1" topLeftCell="A112" zoomScale="85" zoomScaleNormal="85" zoomScaleSheetLayoutView="37" zoomScalePageLayoutView="41" workbookViewId="0">
      <selection activeCell="E153" sqref="E153"/>
    </sheetView>
  </sheetViews>
  <sheetFormatPr defaultRowHeight="14.25"/>
  <cols>
    <col min="1" max="1" width="9.5" style="1" customWidth="1"/>
    <col min="2" max="2" width="9" style="1"/>
    <col min="3" max="3" width="10.75" style="1" customWidth="1"/>
    <col min="4" max="5" width="9" style="1"/>
    <col min="6" max="6" width="6.5" style="1" customWidth="1"/>
    <col min="7" max="8" width="9" style="1"/>
    <col min="9" max="10" width="11.25" style="1" customWidth="1"/>
    <col min="11" max="11" width="13.75" style="1" bestFit="1" customWidth="1"/>
    <col min="12" max="12" width="9" style="1"/>
  </cols>
  <sheetData>
    <row r="1" spans="1:14" ht="15">
      <c r="A1" s="88" t="s">
        <v>36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4" ht="15">
      <c r="A2" s="42" t="s">
        <v>50</v>
      </c>
      <c r="B2" s="43"/>
      <c r="C2" s="43"/>
      <c r="D2" s="43"/>
      <c r="E2" s="44"/>
      <c r="F2" s="44"/>
      <c r="G2" s="44"/>
      <c r="H2" s="44"/>
      <c r="I2" s="45"/>
      <c r="J2" s="45"/>
      <c r="K2" s="43"/>
      <c r="L2" s="43"/>
    </row>
    <row r="3" spans="1:14" ht="15">
      <c r="A3" s="46" t="s">
        <v>30</v>
      </c>
      <c r="B3" s="43"/>
      <c r="C3" s="43"/>
      <c r="D3" s="46">
        <v>0.9</v>
      </c>
      <c r="E3" s="46"/>
      <c r="F3" s="46"/>
      <c r="G3" s="46"/>
      <c r="H3" s="44"/>
      <c r="I3" s="47"/>
      <c r="J3" s="47"/>
      <c r="K3" s="43"/>
      <c r="L3" s="43"/>
    </row>
    <row r="4" spans="1:14">
      <c r="A4" s="46" t="s">
        <v>1</v>
      </c>
      <c r="B4" s="46"/>
      <c r="C4" s="46"/>
      <c r="D4" s="46">
        <v>1.1000000000000001</v>
      </c>
      <c r="E4" s="48"/>
      <c r="F4" s="48"/>
      <c r="G4" s="48"/>
      <c r="H4" s="48"/>
      <c r="I4" s="47"/>
      <c r="J4" s="47"/>
      <c r="K4" s="48"/>
      <c r="L4" s="46"/>
    </row>
    <row r="5" spans="1:14">
      <c r="A5" s="46" t="s">
        <v>2</v>
      </c>
      <c r="B5" s="46"/>
      <c r="C5" s="46"/>
      <c r="D5" s="46">
        <v>0.11</v>
      </c>
      <c r="E5" s="48"/>
      <c r="F5" s="48"/>
      <c r="G5" s="48"/>
      <c r="H5" s="48"/>
      <c r="I5" s="47"/>
      <c r="J5" s="47"/>
      <c r="K5" s="48"/>
      <c r="L5" s="46"/>
    </row>
    <row r="6" spans="1:14">
      <c r="A6" s="46" t="s">
        <v>11</v>
      </c>
      <c r="B6" s="46"/>
      <c r="C6" s="46"/>
      <c r="D6" s="46">
        <v>0</v>
      </c>
      <c r="E6" s="48"/>
      <c r="F6" s="48"/>
      <c r="G6" s="48"/>
      <c r="H6" s="48"/>
      <c r="I6" s="47"/>
      <c r="J6" s="47"/>
      <c r="K6" s="48"/>
      <c r="L6" s="46"/>
    </row>
    <row r="7" spans="1:14">
      <c r="A7" s="46" t="s">
        <v>26</v>
      </c>
      <c r="B7" s="46"/>
      <c r="C7" s="46"/>
      <c r="D7" s="46">
        <v>0.15</v>
      </c>
      <c r="E7" s="48"/>
      <c r="F7" s="48"/>
      <c r="G7" s="48"/>
      <c r="H7" s="48"/>
      <c r="I7" s="48"/>
      <c r="J7" s="48"/>
      <c r="K7" s="48"/>
      <c r="L7" s="46"/>
    </row>
    <row r="8" spans="1:14">
      <c r="A8" s="46" t="s">
        <v>12</v>
      </c>
      <c r="B8" s="46"/>
      <c r="C8" s="46"/>
      <c r="D8" s="44">
        <v>0</v>
      </c>
      <c r="E8" s="48"/>
      <c r="F8" s="48"/>
      <c r="G8" s="48"/>
      <c r="H8" s="48"/>
      <c r="I8" s="47"/>
      <c r="J8" s="47"/>
      <c r="K8" s="48"/>
      <c r="L8" s="46"/>
    </row>
    <row r="9" spans="1:14" ht="59.25" customHeight="1">
      <c r="A9" s="65" t="s">
        <v>3</v>
      </c>
      <c r="B9" s="65" t="s">
        <v>4</v>
      </c>
      <c r="C9" s="65" t="s">
        <v>31</v>
      </c>
      <c r="D9" s="65" t="s">
        <v>32</v>
      </c>
      <c r="E9" s="3" t="s">
        <v>29</v>
      </c>
      <c r="F9" s="71" t="s">
        <v>5</v>
      </c>
      <c r="G9" s="79" t="s">
        <v>56</v>
      </c>
      <c r="H9" s="89" t="s">
        <v>64</v>
      </c>
      <c r="I9" s="90"/>
      <c r="J9" s="3" t="s">
        <v>84</v>
      </c>
      <c r="K9" s="68" t="s">
        <v>60</v>
      </c>
      <c r="L9" s="65" t="s">
        <v>27</v>
      </c>
    </row>
    <row r="10" spans="1:14" ht="28.5">
      <c r="A10" s="91"/>
      <c r="B10" s="92"/>
      <c r="C10" s="92"/>
      <c r="D10" s="93"/>
      <c r="E10" s="3"/>
      <c r="F10" s="69"/>
      <c r="G10" s="8" t="s">
        <v>66</v>
      </c>
      <c r="H10" s="3" t="s">
        <v>62</v>
      </c>
      <c r="I10" s="3" t="s">
        <v>65</v>
      </c>
      <c r="J10" s="3" t="s">
        <v>85</v>
      </c>
      <c r="K10" s="3" t="s">
        <v>59</v>
      </c>
      <c r="L10" s="65"/>
    </row>
    <row r="11" spans="1:14">
      <c r="A11" s="11" t="s">
        <v>13</v>
      </c>
      <c r="B11" s="11" t="s">
        <v>14</v>
      </c>
      <c r="C11" s="11" t="s">
        <v>15</v>
      </c>
      <c r="D11" s="11" t="s">
        <v>16</v>
      </c>
      <c r="E11" s="12" t="s">
        <v>17</v>
      </c>
      <c r="F11" s="4" t="s">
        <v>18</v>
      </c>
      <c r="G11" s="4" t="s">
        <v>19</v>
      </c>
      <c r="H11" s="5" t="s">
        <v>20</v>
      </c>
      <c r="I11" s="5" t="s">
        <v>21</v>
      </c>
      <c r="J11" s="5" t="s">
        <v>86</v>
      </c>
      <c r="K11" s="5" t="s">
        <v>22</v>
      </c>
      <c r="L11" s="4" t="s">
        <v>23</v>
      </c>
    </row>
    <row r="12" spans="1:14">
      <c r="A12" s="25" t="s">
        <v>76</v>
      </c>
      <c r="B12" s="25"/>
      <c r="C12" s="25">
        <v>1.6</v>
      </c>
      <c r="D12" s="25"/>
      <c r="E12" s="26"/>
      <c r="F12" s="27"/>
      <c r="G12" s="25"/>
      <c r="H12" s="26"/>
      <c r="I12" s="26"/>
      <c r="J12" s="26"/>
      <c r="K12" s="26"/>
      <c r="L12" s="26"/>
    </row>
    <row r="13" spans="1:14">
      <c r="A13" s="25" t="s">
        <v>75</v>
      </c>
      <c r="B13" s="25">
        <v>106.7</v>
      </c>
      <c r="C13" s="25">
        <v>1.59</v>
      </c>
      <c r="D13" s="28">
        <f>(C12+C13)/2</f>
        <v>1.5950000000000002</v>
      </c>
      <c r="E13" s="7">
        <f>B13*(D13+0.15)*D$4</f>
        <v>204.81065000000004</v>
      </c>
      <c r="F13" s="27">
        <v>0</v>
      </c>
      <c r="G13" s="29">
        <f>F13*D$4*1.1*C$18</f>
        <v>0</v>
      </c>
      <c r="H13" s="26">
        <f>B13*D$4*0.15</f>
        <v>17.605500000000003</v>
      </c>
      <c r="I13" s="26">
        <f>(B13*D$4*(D$5+0.3))-(0.785*D$5^2*B13)</f>
        <v>47.108210050000004</v>
      </c>
      <c r="J13" s="7">
        <f>(0.5*E13)-H13-I13</f>
        <v>37.691614950000009</v>
      </c>
      <c r="K13" s="26">
        <f>E13-G13-H13-I13-J13</f>
        <v>102.40532500000003</v>
      </c>
      <c r="L13" s="26">
        <f>I13+H13+J13</f>
        <v>102.405325</v>
      </c>
      <c r="M13" s="2"/>
      <c r="N13" s="2"/>
    </row>
    <row r="14" spans="1:14">
      <c r="A14" s="25" t="s">
        <v>45</v>
      </c>
      <c r="B14" s="25">
        <v>3.6</v>
      </c>
      <c r="C14" s="25">
        <v>1.6</v>
      </c>
      <c r="D14" s="28">
        <f t="shared" ref="D14:D16" si="0">(C13+C14)/2</f>
        <v>1.5950000000000002</v>
      </c>
      <c r="E14" s="7">
        <f t="shared" ref="E14:E17" si="1">B14*(D14+0.15)*D$4</f>
        <v>6.9102000000000015</v>
      </c>
      <c r="F14" s="27">
        <v>0</v>
      </c>
      <c r="G14" s="29">
        <f t="shared" ref="G14:G17" si="2">F14*D$4*1.1*C$18</f>
        <v>0</v>
      </c>
      <c r="H14" s="26">
        <f t="shared" ref="H14:H17" si="3">B14*D$4*0.15</f>
        <v>0.59400000000000008</v>
      </c>
      <c r="I14" s="26">
        <f t="shared" ref="I14:I17" si="4">(B14*D$4*(D$5+0.3))-(0.785*D$5^2*B14)</f>
        <v>1.5894054000000002</v>
      </c>
      <c r="J14" s="7">
        <f t="shared" ref="J14:J17" si="5">(0.5*E14)-H14-I14</f>
        <v>1.2716946000000002</v>
      </c>
      <c r="K14" s="26">
        <f t="shared" ref="K14:K17" si="6">E14-G14-H14-I14-J14</f>
        <v>3.4551000000000007</v>
      </c>
      <c r="L14" s="26">
        <f t="shared" ref="L14:L17" si="7">I14+H14+J14</f>
        <v>3.4551000000000007</v>
      </c>
      <c r="M14" s="2"/>
      <c r="N14" s="2"/>
    </row>
    <row r="15" spans="1:14">
      <c r="A15" s="25" t="s">
        <v>47</v>
      </c>
      <c r="B15" s="25">
        <v>76.900000000000006</v>
      </c>
      <c r="C15" s="25">
        <v>1.62</v>
      </c>
      <c r="D15" s="28">
        <f t="shared" si="0"/>
        <v>1.61</v>
      </c>
      <c r="E15" s="7">
        <f t="shared" si="1"/>
        <v>148.87840000000003</v>
      </c>
      <c r="F15" s="27">
        <v>2</v>
      </c>
      <c r="G15" s="29">
        <f t="shared" si="2"/>
        <v>3.7892991655540729</v>
      </c>
      <c r="H15" s="26">
        <f t="shared" si="3"/>
        <v>12.688500000000003</v>
      </c>
      <c r="I15" s="26">
        <f t="shared" si="4"/>
        <v>33.951465350000007</v>
      </c>
      <c r="J15" s="7">
        <f t="shared" si="5"/>
        <v>27.799234650000002</v>
      </c>
      <c r="K15" s="26">
        <f t="shared" si="6"/>
        <v>70.649900834445944</v>
      </c>
      <c r="L15" s="26">
        <f t="shared" si="7"/>
        <v>74.439200000000014</v>
      </c>
      <c r="M15" s="2"/>
      <c r="N15" s="2"/>
    </row>
    <row r="16" spans="1:14">
      <c r="A16" s="25" t="s">
        <v>37</v>
      </c>
      <c r="B16" s="25">
        <v>35.200000000000003</v>
      </c>
      <c r="C16" s="25">
        <v>1.6</v>
      </c>
      <c r="D16" s="28">
        <f t="shared" si="0"/>
        <v>1.61</v>
      </c>
      <c r="E16" s="7">
        <f t="shared" si="1"/>
        <v>68.147200000000012</v>
      </c>
      <c r="F16" s="27">
        <v>1</v>
      </c>
      <c r="G16" s="29">
        <f t="shared" si="2"/>
        <v>1.8946495827770364</v>
      </c>
      <c r="H16" s="26">
        <f t="shared" si="3"/>
        <v>5.8080000000000007</v>
      </c>
      <c r="I16" s="26">
        <f t="shared" si="4"/>
        <v>15.540852800000001</v>
      </c>
      <c r="J16" s="7">
        <f t="shared" si="5"/>
        <v>12.724747200000005</v>
      </c>
      <c r="K16" s="26">
        <f t="shared" si="6"/>
        <v>32.178950417222971</v>
      </c>
      <c r="L16" s="26">
        <f t="shared" si="7"/>
        <v>34.073600000000006</v>
      </c>
      <c r="M16" s="2"/>
      <c r="N16" s="2"/>
    </row>
    <row r="17" spans="1:14">
      <c r="A17" s="25" t="s">
        <v>38</v>
      </c>
      <c r="B17" s="26">
        <v>77.2</v>
      </c>
      <c r="C17" s="30">
        <v>1.32</v>
      </c>
      <c r="D17" s="28">
        <f>(C16+C17)/2</f>
        <v>1.46</v>
      </c>
      <c r="E17" s="7">
        <f t="shared" si="1"/>
        <v>136.72120000000001</v>
      </c>
      <c r="F17" s="31">
        <v>0</v>
      </c>
      <c r="G17" s="29">
        <f t="shared" si="2"/>
        <v>0</v>
      </c>
      <c r="H17" s="26">
        <f t="shared" si="3"/>
        <v>12.738000000000001</v>
      </c>
      <c r="I17" s="26">
        <f t="shared" si="4"/>
        <v>34.083915800000007</v>
      </c>
      <c r="J17" s="7">
        <f t="shared" si="5"/>
        <v>21.538684199999999</v>
      </c>
      <c r="K17" s="26">
        <f t="shared" si="6"/>
        <v>68.360600000000005</v>
      </c>
      <c r="L17" s="26">
        <f t="shared" si="7"/>
        <v>68.360600000000005</v>
      </c>
      <c r="M17" s="2"/>
      <c r="N17" s="2"/>
    </row>
    <row r="18" spans="1:14">
      <c r="A18" s="25"/>
      <c r="B18" s="25">
        <f>SUM(B12:B17)</f>
        <v>299.59999999999997</v>
      </c>
      <c r="C18" s="94">
        <f>E18/B18/D4-0.15</f>
        <v>1.565826101468625</v>
      </c>
      <c r="D18" s="95"/>
      <c r="E18" s="26">
        <f t="shared" ref="E18:L18" si="8">SUM(E12:E17)</f>
        <v>565.46765000000005</v>
      </c>
      <c r="F18" s="83">
        <f>SUM(F13:F17)</f>
        <v>3</v>
      </c>
      <c r="G18" s="26">
        <f>SUM(G13:G17)</f>
        <v>5.6839487483311091</v>
      </c>
      <c r="H18" s="26">
        <f t="shared" si="8"/>
        <v>49.434000000000005</v>
      </c>
      <c r="I18" s="26">
        <f t="shared" si="8"/>
        <v>132.27384940000002</v>
      </c>
      <c r="J18" s="26">
        <f t="shared" si="8"/>
        <v>101.02597560000001</v>
      </c>
      <c r="K18" s="26">
        <f t="shared" si="8"/>
        <v>277.04987625166893</v>
      </c>
      <c r="L18" s="26">
        <f t="shared" si="8"/>
        <v>282.73382500000002</v>
      </c>
      <c r="M18" s="2"/>
      <c r="N18" s="2"/>
    </row>
    <row r="19" spans="1:14">
      <c r="A19" s="32"/>
      <c r="B19" s="33" t="s">
        <v>44</v>
      </c>
      <c r="C19" s="34"/>
      <c r="D19" s="35"/>
      <c r="E19" s="26">
        <v>0</v>
      </c>
      <c r="F19" s="26"/>
      <c r="G19" s="26"/>
      <c r="H19" s="26"/>
      <c r="I19" s="26"/>
      <c r="J19" s="26"/>
      <c r="K19" s="26"/>
      <c r="L19" s="26"/>
      <c r="M19" s="2"/>
      <c r="N19" s="2"/>
    </row>
    <row r="20" spans="1:14" ht="15">
      <c r="A20" s="96" t="s">
        <v>54</v>
      </c>
      <c r="B20" s="97"/>
      <c r="C20" s="97"/>
      <c r="D20" s="98"/>
      <c r="E20" s="36">
        <f>SUM(E18:E19)</f>
        <v>565.46765000000005</v>
      </c>
      <c r="F20" s="84">
        <f>G18</f>
        <v>5.6839487483311091</v>
      </c>
      <c r="G20" s="85"/>
      <c r="H20" s="37">
        <f t="shared" ref="H20:L20" si="9">SUM(H18:H19)</f>
        <v>49.434000000000005</v>
      </c>
      <c r="I20" s="37">
        <f t="shared" si="9"/>
        <v>132.27384940000002</v>
      </c>
      <c r="J20" s="37">
        <f t="shared" si="9"/>
        <v>101.02597560000001</v>
      </c>
      <c r="K20" s="37">
        <f t="shared" si="9"/>
        <v>277.04987625166893</v>
      </c>
      <c r="L20" s="37">
        <f t="shared" si="9"/>
        <v>282.73382500000002</v>
      </c>
      <c r="M20" s="2"/>
      <c r="N20" s="2"/>
    </row>
    <row r="21" spans="1:14" ht="15">
      <c r="A21" s="50" t="s">
        <v>33</v>
      </c>
      <c r="B21" s="50">
        <v>0</v>
      </c>
      <c r="C21" s="50">
        <v>0</v>
      </c>
      <c r="D21" s="51"/>
      <c r="E21" s="38">
        <f>-B21*C21*2</f>
        <v>0</v>
      </c>
      <c r="F21" s="84"/>
      <c r="G21" s="85"/>
      <c r="H21" s="39"/>
      <c r="I21" s="39"/>
      <c r="J21" s="39"/>
      <c r="K21" s="39">
        <f>E21</f>
        <v>0</v>
      </c>
      <c r="L21" s="39">
        <v>0</v>
      </c>
      <c r="M21" s="2"/>
      <c r="N21" s="2"/>
    </row>
    <row r="22" spans="1:14" ht="15">
      <c r="A22" s="50" t="s">
        <v>53</v>
      </c>
      <c r="B22" s="72">
        <v>0</v>
      </c>
      <c r="C22" s="50">
        <v>0</v>
      </c>
      <c r="D22" s="51"/>
      <c r="E22" s="38">
        <f>-B22*C22*D4</f>
        <v>0</v>
      </c>
      <c r="F22" s="84"/>
      <c r="G22" s="85"/>
      <c r="H22" s="39"/>
      <c r="I22" s="39"/>
      <c r="J22" s="39"/>
      <c r="K22" s="39">
        <v>0</v>
      </c>
      <c r="L22" s="39">
        <v>0</v>
      </c>
      <c r="M22" s="2"/>
      <c r="N22" s="2"/>
    </row>
    <row r="23" spans="1:14" ht="13.5" customHeight="1">
      <c r="A23" s="52"/>
      <c r="B23" s="50"/>
      <c r="C23" s="50"/>
      <c r="D23" s="51" t="s">
        <v>55</v>
      </c>
      <c r="E23" s="40">
        <f t="shared" ref="E23:K23" si="10">SUM(E20:E22)</f>
        <v>565.46765000000005</v>
      </c>
      <c r="F23" s="86">
        <f>F20</f>
        <v>5.6839487483311091</v>
      </c>
      <c r="G23" s="87"/>
      <c r="H23" s="40">
        <f t="shared" si="10"/>
        <v>49.434000000000005</v>
      </c>
      <c r="I23" s="40">
        <f t="shared" si="10"/>
        <v>132.27384940000002</v>
      </c>
      <c r="J23" s="40">
        <f t="shared" si="10"/>
        <v>101.02597560000001</v>
      </c>
      <c r="K23" s="40">
        <f t="shared" si="10"/>
        <v>277.04987625166893</v>
      </c>
      <c r="L23" s="40">
        <f>SUM(L20:L22)</f>
        <v>282.73382500000002</v>
      </c>
      <c r="M23" s="2"/>
      <c r="N23" s="2"/>
    </row>
    <row r="24" spans="1:14" ht="13.5" customHeight="1">
      <c r="A24" s="52"/>
      <c r="B24" s="50"/>
      <c r="C24" s="50"/>
      <c r="D24" s="51"/>
      <c r="E24" s="54"/>
      <c r="F24" s="54"/>
      <c r="G24" s="54"/>
      <c r="H24" s="54"/>
      <c r="I24" s="54"/>
      <c r="J24" s="54"/>
      <c r="K24" s="54"/>
      <c r="L24" s="54"/>
      <c r="M24" s="2"/>
      <c r="N24" s="2"/>
    </row>
    <row r="25" spans="1:14" ht="13.5" customHeight="1">
      <c r="A25" s="100" t="s">
        <v>36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2"/>
      <c r="N25" s="2"/>
    </row>
    <row r="26" spans="1:14" ht="13.5" customHeight="1">
      <c r="A26" s="53" t="s">
        <v>51</v>
      </c>
      <c r="B26" s="51"/>
      <c r="C26" s="51"/>
      <c r="D26" s="51"/>
      <c r="E26" s="54"/>
      <c r="F26" s="54"/>
      <c r="G26" s="54"/>
      <c r="H26" s="54"/>
      <c r="I26" s="54"/>
      <c r="J26" s="54"/>
      <c r="K26" s="54"/>
      <c r="L26" s="54"/>
      <c r="M26" s="2"/>
      <c r="N26" s="2"/>
    </row>
    <row r="27" spans="1:14" ht="13.5" customHeight="1">
      <c r="A27" s="46" t="s">
        <v>30</v>
      </c>
      <c r="B27" s="77"/>
      <c r="C27" s="77"/>
      <c r="D27" s="55">
        <v>0.9</v>
      </c>
      <c r="E27" s="54"/>
      <c r="F27" s="54"/>
      <c r="G27" s="54"/>
      <c r="H27" s="54"/>
      <c r="I27" s="54"/>
      <c r="J27" s="54"/>
      <c r="K27" s="54"/>
      <c r="L27" s="54"/>
      <c r="M27" s="2"/>
      <c r="N27" s="2"/>
    </row>
    <row r="28" spans="1:14" ht="13.5" customHeight="1">
      <c r="A28" s="46" t="s">
        <v>1</v>
      </c>
      <c r="B28" s="46"/>
      <c r="C28" s="46"/>
      <c r="D28" s="55">
        <v>1.1000000000000001</v>
      </c>
      <c r="E28" s="54"/>
      <c r="F28" s="54"/>
      <c r="G28" s="54"/>
      <c r="H28" s="54"/>
      <c r="I28" s="54"/>
      <c r="J28" s="54"/>
      <c r="K28" s="54"/>
      <c r="L28" s="54"/>
      <c r="M28" s="2"/>
      <c r="N28" s="2"/>
    </row>
    <row r="29" spans="1:14" ht="13.5" customHeight="1">
      <c r="A29" s="46" t="s">
        <v>2</v>
      </c>
      <c r="B29" s="46"/>
      <c r="C29" s="46"/>
      <c r="D29" s="55">
        <v>0.09</v>
      </c>
      <c r="E29" s="54"/>
      <c r="F29" s="54"/>
      <c r="G29" s="54"/>
      <c r="H29" s="54"/>
      <c r="I29" s="54"/>
      <c r="J29" s="54"/>
      <c r="K29" s="54"/>
      <c r="L29" s="54"/>
      <c r="M29" s="2"/>
      <c r="N29" s="2"/>
    </row>
    <row r="30" spans="1:14" ht="13.5" customHeight="1">
      <c r="A30" s="46" t="s">
        <v>11</v>
      </c>
      <c r="B30" s="46"/>
      <c r="C30" s="46"/>
      <c r="D30" s="55">
        <v>0</v>
      </c>
      <c r="E30" s="54"/>
      <c r="F30" s="54"/>
      <c r="G30" s="54"/>
      <c r="H30" s="54"/>
      <c r="I30" s="54"/>
      <c r="J30" s="54"/>
      <c r="K30" s="54"/>
      <c r="L30" s="54"/>
      <c r="M30" s="2"/>
      <c r="N30" s="2"/>
    </row>
    <row r="31" spans="1:14" ht="13.5" customHeight="1">
      <c r="A31" s="46" t="s">
        <v>26</v>
      </c>
      <c r="B31" s="46"/>
      <c r="C31" s="46"/>
      <c r="D31" s="55">
        <v>0.15</v>
      </c>
      <c r="E31" s="54"/>
      <c r="F31" s="54"/>
      <c r="G31" s="54"/>
      <c r="H31" s="54"/>
      <c r="I31" s="54"/>
      <c r="J31" s="54"/>
      <c r="K31" s="54"/>
      <c r="L31" s="54"/>
      <c r="M31" s="2"/>
      <c r="N31" s="2"/>
    </row>
    <row r="32" spans="1:14" ht="13.5" customHeight="1">
      <c r="A32" s="46" t="s">
        <v>12</v>
      </c>
      <c r="B32" s="46"/>
      <c r="C32" s="46"/>
      <c r="D32" s="56">
        <v>0</v>
      </c>
      <c r="E32" s="57"/>
      <c r="F32" s="57"/>
      <c r="G32" s="57"/>
      <c r="H32" s="57"/>
      <c r="I32" s="57"/>
      <c r="J32" s="57"/>
      <c r="K32" s="57"/>
      <c r="L32" s="57"/>
      <c r="M32" s="2"/>
      <c r="N32" s="2"/>
    </row>
    <row r="33" spans="1:14" ht="59.25">
      <c r="A33" s="75" t="s">
        <v>3</v>
      </c>
      <c r="B33" s="75" t="s">
        <v>4</v>
      </c>
      <c r="C33" s="75" t="s">
        <v>31</v>
      </c>
      <c r="D33" s="75" t="s">
        <v>32</v>
      </c>
      <c r="E33" s="3" t="s">
        <v>29</v>
      </c>
      <c r="F33" s="76" t="s">
        <v>5</v>
      </c>
      <c r="G33" s="79" t="s">
        <v>56</v>
      </c>
      <c r="H33" s="89" t="s">
        <v>64</v>
      </c>
      <c r="I33" s="93"/>
      <c r="J33" s="3" t="s">
        <v>84</v>
      </c>
      <c r="K33" s="68" t="s">
        <v>60</v>
      </c>
      <c r="L33" s="75" t="s">
        <v>27</v>
      </c>
      <c r="M33" s="2"/>
      <c r="N33" s="2"/>
    </row>
    <row r="34" spans="1:14" ht="13.5" customHeight="1">
      <c r="A34" s="99"/>
      <c r="B34" s="99"/>
      <c r="C34" s="99"/>
      <c r="D34" s="99"/>
      <c r="E34" s="3"/>
      <c r="F34" s="75"/>
      <c r="G34" s="8" t="s">
        <v>66</v>
      </c>
      <c r="H34" s="3" t="s">
        <v>62</v>
      </c>
      <c r="I34" s="3" t="s">
        <v>65</v>
      </c>
      <c r="J34" s="3" t="s">
        <v>85</v>
      </c>
      <c r="K34" s="3" t="s">
        <v>59</v>
      </c>
      <c r="L34" s="75"/>
      <c r="M34" s="2"/>
      <c r="N34" s="2"/>
    </row>
    <row r="35" spans="1:14" ht="13.5" customHeight="1">
      <c r="A35" s="11" t="s">
        <v>13</v>
      </c>
      <c r="B35" s="11" t="s">
        <v>14</v>
      </c>
      <c r="C35" s="11" t="s">
        <v>15</v>
      </c>
      <c r="D35" s="11" t="s">
        <v>16</v>
      </c>
      <c r="E35" s="12" t="s">
        <v>17</v>
      </c>
      <c r="F35" s="4" t="s">
        <v>18</v>
      </c>
      <c r="G35" s="4" t="s">
        <v>19</v>
      </c>
      <c r="H35" s="5" t="s">
        <v>20</v>
      </c>
      <c r="I35" s="5" t="s">
        <v>21</v>
      </c>
      <c r="J35" s="5" t="s">
        <v>86</v>
      </c>
      <c r="K35" s="5" t="s">
        <v>22</v>
      </c>
      <c r="L35" s="4" t="s">
        <v>23</v>
      </c>
      <c r="M35" s="2"/>
      <c r="N35" s="2"/>
    </row>
    <row r="36" spans="1:14" ht="13.5" customHeight="1">
      <c r="A36" s="25" t="s">
        <v>80</v>
      </c>
      <c r="B36" s="25"/>
      <c r="C36" s="25">
        <v>1.6</v>
      </c>
      <c r="D36" s="41"/>
      <c r="E36" s="26"/>
      <c r="F36" s="27"/>
      <c r="G36" s="25"/>
      <c r="H36" s="26"/>
      <c r="I36" s="26"/>
      <c r="J36" s="26"/>
      <c r="K36" s="26"/>
      <c r="L36" s="26"/>
      <c r="M36" s="2"/>
      <c r="N36" s="2"/>
    </row>
    <row r="37" spans="1:14" ht="13.5" customHeight="1">
      <c r="A37" s="25" t="s">
        <v>45</v>
      </c>
      <c r="B37" s="25">
        <v>3.5</v>
      </c>
      <c r="C37" s="30">
        <v>1.6</v>
      </c>
      <c r="D37" s="25">
        <f>(C36+C37)/2</f>
        <v>1.6</v>
      </c>
      <c r="E37" s="26">
        <f>B37*(D37+0.15)*D28</f>
        <v>6.7375000000000007</v>
      </c>
      <c r="F37" s="27">
        <v>0</v>
      </c>
      <c r="G37" s="29">
        <f>F37*D$4*1.1*C$18</f>
        <v>0</v>
      </c>
      <c r="H37" s="26">
        <f>B37*D28*0.15</f>
        <v>0.57750000000000001</v>
      </c>
      <c r="I37" s="26">
        <f>(B37*D28*(D29+0.3))-(0.785*D29^2*D27)</f>
        <v>1.4957773500000002</v>
      </c>
      <c r="J37" s="26">
        <f>(0.5*E37)-H37-I37</f>
        <v>1.29547265</v>
      </c>
      <c r="K37" s="26">
        <f>E37-G37-H37-I37-J37</f>
        <v>3.3687500000000012</v>
      </c>
      <c r="L37" s="26">
        <f>I37+H37+J37</f>
        <v>3.3687500000000004</v>
      </c>
      <c r="M37" s="2"/>
      <c r="N37" s="2"/>
    </row>
    <row r="38" spans="1:14" ht="13.5" customHeight="1">
      <c r="A38" s="25"/>
      <c r="B38" s="25">
        <f>B37</f>
        <v>3.5</v>
      </c>
      <c r="C38" s="94">
        <f>E37/D28/B38-0.15</f>
        <v>1.6</v>
      </c>
      <c r="D38" s="95"/>
      <c r="E38" s="26"/>
      <c r="F38" s="31">
        <v>0</v>
      </c>
      <c r="G38" s="29">
        <f>F38*D$4*1.1*C$18</f>
        <v>0</v>
      </c>
      <c r="H38" s="26"/>
      <c r="I38" s="26"/>
      <c r="J38" s="26"/>
      <c r="K38" s="26"/>
      <c r="L38" s="26"/>
      <c r="M38" s="2"/>
      <c r="N38" s="2"/>
    </row>
    <row r="39" spans="1:14" ht="13.5" customHeight="1">
      <c r="A39" s="96" t="s">
        <v>54</v>
      </c>
      <c r="B39" s="97"/>
      <c r="C39" s="97"/>
      <c r="D39" s="98"/>
      <c r="E39" s="36">
        <f>E37</f>
        <v>6.7375000000000007</v>
      </c>
      <c r="F39" s="84">
        <f>G37</f>
        <v>0</v>
      </c>
      <c r="G39" s="85"/>
      <c r="H39" s="37">
        <f t="shared" ref="H39:L39" si="11">H37</f>
        <v>0.57750000000000001</v>
      </c>
      <c r="I39" s="37">
        <f t="shared" si="11"/>
        <v>1.4957773500000002</v>
      </c>
      <c r="J39" s="37">
        <f t="shared" si="11"/>
        <v>1.29547265</v>
      </c>
      <c r="K39" s="37">
        <f t="shared" si="11"/>
        <v>3.3687500000000012</v>
      </c>
      <c r="L39" s="37">
        <f t="shared" si="11"/>
        <v>3.3687500000000004</v>
      </c>
      <c r="M39" s="2"/>
      <c r="N39" s="2"/>
    </row>
    <row r="40" spans="1:14" ht="13.5" customHeight="1">
      <c r="A40" s="50" t="s">
        <v>33</v>
      </c>
      <c r="B40" s="50">
        <v>0</v>
      </c>
      <c r="C40" s="50">
        <v>0</v>
      </c>
      <c r="D40" s="51"/>
      <c r="E40" s="36">
        <f>-B40*C40*D28</f>
        <v>0</v>
      </c>
      <c r="F40" s="84"/>
      <c r="G40" s="85"/>
      <c r="H40" s="37"/>
      <c r="I40" s="37"/>
      <c r="J40" s="37"/>
      <c r="K40" s="37">
        <f>E40</f>
        <v>0</v>
      </c>
      <c r="L40" s="37">
        <f>K40</f>
        <v>0</v>
      </c>
      <c r="M40" s="2"/>
      <c r="N40" s="2"/>
    </row>
    <row r="41" spans="1:14" ht="13.5" customHeight="1">
      <c r="A41" s="50" t="s">
        <v>53</v>
      </c>
      <c r="B41" s="50">
        <v>0</v>
      </c>
      <c r="C41" s="50">
        <v>0</v>
      </c>
      <c r="D41" s="51"/>
      <c r="E41" s="36">
        <f>-B41*C41*D28</f>
        <v>0</v>
      </c>
      <c r="F41" s="84"/>
      <c r="G41" s="85"/>
      <c r="H41" s="37"/>
      <c r="I41" s="37"/>
      <c r="J41" s="37"/>
      <c r="K41" s="37">
        <v>0</v>
      </c>
      <c r="L41" s="37">
        <f>E41</f>
        <v>0</v>
      </c>
      <c r="M41" s="2"/>
      <c r="N41" s="2"/>
    </row>
    <row r="42" spans="1:14" ht="13.5" customHeight="1">
      <c r="A42" s="50"/>
      <c r="B42" s="50"/>
      <c r="C42" s="50"/>
      <c r="D42" s="51" t="s">
        <v>52</v>
      </c>
      <c r="E42" s="40">
        <f>SUM(E39:E41)</f>
        <v>6.7375000000000007</v>
      </c>
      <c r="F42" s="86">
        <f>F39</f>
        <v>0</v>
      </c>
      <c r="G42" s="87"/>
      <c r="H42" s="40">
        <f t="shared" ref="H42:K42" si="12">SUM(H39:H41)</f>
        <v>0.57750000000000001</v>
      </c>
      <c r="I42" s="40">
        <f t="shared" si="12"/>
        <v>1.4957773500000002</v>
      </c>
      <c r="J42" s="40">
        <f t="shared" si="12"/>
        <v>1.29547265</v>
      </c>
      <c r="K42" s="40">
        <f t="shared" si="12"/>
        <v>3.3687500000000012</v>
      </c>
      <c r="L42" s="40">
        <f>SUM(L39:L41)</f>
        <v>3.3687500000000004</v>
      </c>
      <c r="M42" s="2"/>
      <c r="N42" s="2"/>
    </row>
    <row r="43" spans="1:14" ht="13.5" customHeight="1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2"/>
      <c r="N43" s="2"/>
    </row>
    <row r="44" spans="1:14" ht="13.5" customHeight="1">
      <c r="A44" s="88" t="s">
        <v>36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2"/>
      <c r="N44" s="2"/>
    </row>
    <row r="45" spans="1:14" ht="13.5" customHeight="1">
      <c r="A45" s="42" t="s">
        <v>50</v>
      </c>
      <c r="B45" s="77"/>
      <c r="C45" s="77"/>
      <c r="D45" s="77"/>
      <c r="E45" s="44"/>
      <c r="F45" s="44"/>
      <c r="G45" s="44"/>
      <c r="H45" s="44"/>
      <c r="I45" s="45"/>
      <c r="J45" s="45"/>
      <c r="K45" s="77"/>
      <c r="L45" s="77"/>
      <c r="M45" s="2"/>
      <c r="N45" s="2"/>
    </row>
    <row r="46" spans="1:14" ht="13.5" customHeight="1">
      <c r="A46" s="46" t="s">
        <v>30</v>
      </c>
      <c r="B46" s="77"/>
      <c r="C46" s="77"/>
      <c r="D46" s="46">
        <v>0.9</v>
      </c>
      <c r="E46" s="46"/>
      <c r="F46" s="46"/>
      <c r="G46" s="46"/>
      <c r="H46" s="44"/>
      <c r="I46" s="47"/>
      <c r="J46" s="47"/>
      <c r="K46" s="77"/>
      <c r="L46" s="77"/>
      <c r="M46" s="2"/>
      <c r="N46" s="2"/>
    </row>
    <row r="47" spans="1:14" ht="13.5" customHeight="1">
      <c r="A47" s="46" t="s">
        <v>1</v>
      </c>
      <c r="B47" s="46"/>
      <c r="C47" s="46"/>
      <c r="D47" s="46">
        <v>1.1000000000000001</v>
      </c>
      <c r="E47" s="48"/>
      <c r="F47" s="48"/>
      <c r="G47" s="48"/>
      <c r="H47" s="48"/>
      <c r="I47" s="47"/>
      <c r="J47" s="47"/>
      <c r="K47" s="48"/>
      <c r="L47" s="46"/>
      <c r="M47" s="2"/>
      <c r="N47" s="2"/>
    </row>
    <row r="48" spans="1:14" ht="13.5" customHeight="1">
      <c r="A48" s="46" t="s">
        <v>2</v>
      </c>
      <c r="B48" s="46"/>
      <c r="C48" s="46"/>
      <c r="D48" s="46">
        <v>0.11</v>
      </c>
      <c r="E48" s="48"/>
      <c r="F48" s="48"/>
      <c r="G48" s="48"/>
      <c r="H48" s="48"/>
      <c r="I48" s="47"/>
      <c r="J48" s="47"/>
      <c r="K48" s="48"/>
      <c r="L48" s="46"/>
      <c r="M48" s="2"/>
      <c r="N48" s="2"/>
    </row>
    <row r="49" spans="1:14" ht="13.5" customHeight="1">
      <c r="A49" s="46" t="s">
        <v>11</v>
      </c>
      <c r="B49" s="46"/>
      <c r="C49" s="46"/>
      <c r="D49" s="46">
        <v>0</v>
      </c>
      <c r="E49" s="48"/>
      <c r="F49" s="48"/>
      <c r="G49" s="48"/>
      <c r="H49" s="48"/>
      <c r="I49" s="47"/>
      <c r="J49" s="47"/>
      <c r="K49" s="48"/>
      <c r="L49" s="46"/>
      <c r="M49" s="2"/>
      <c r="N49" s="2"/>
    </row>
    <row r="50" spans="1:14" ht="13.5" customHeight="1">
      <c r="A50" s="46" t="s">
        <v>26</v>
      </c>
      <c r="B50" s="46"/>
      <c r="C50" s="46"/>
      <c r="D50" s="46">
        <v>0.15</v>
      </c>
      <c r="E50" s="48"/>
      <c r="F50" s="48"/>
      <c r="G50" s="48"/>
      <c r="H50" s="48"/>
      <c r="I50" s="48"/>
      <c r="J50" s="48"/>
      <c r="K50" s="48"/>
      <c r="L50" s="46"/>
      <c r="M50" s="2"/>
      <c r="N50" s="2"/>
    </row>
    <row r="51" spans="1:14">
      <c r="A51" s="46" t="s">
        <v>12</v>
      </c>
      <c r="B51" s="46"/>
      <c r="C51" s="46"/>
      <c r="D51" s="44">
        <v>0</v>
      </c>
      <c r="E51" s="48"/>
      <c r="F51" s="48"/>
      <c r="G51" s="48"/>
      <c r="H51" s="48"/>
      <c r="I51" s="47"/>
      <c r="J51" s="47"/>
      <c r="K51" s="48"/>
      <c r="L51" s="46"/>
      <c r="M51" s="2"/>
      <c r="N51" s="2"/>
    </row>
    <row r="52" spans="1:14" ht="59.25">
      <c r="A52" s="75" t="s">
        <v>3</v>
      </c>
      <c r="B52" s="75" t="s">
        <v>4</v>
      </c>
      <c r="C52" s="75" t="s">
        <v>31</v>
      </c>
      <c r="D52" s="75" t="s">
        <v>32</v>
      </c>
      <c r="E52" s="3" t="s">
        <v>29</v>
      </c>
      <c r="F52" s="76" t="s">
        <v>5</v>
      </c>
      <c r="G52" s="79" t="s">
        <v>56</v>
      </c>
      <c r="H52" s="89" t="s">
        <v>64</v>
      </c>
      <c r="I52" s="90"/>
      <c r="J52" s="3" t="s">
        <v>84</v>
      </c>
      <c r="K52" s="68" t="s">
        <v>60</v>
      </c>
      <c r="L52" s="75" t="s">
        <v>27</v>
      </c>
      <c r="M52" s="2"/>
      <c r="N52" s="2"/>
    </row>
    <row r="53" spans="1:14" ht="28.5">
      <c r="A53" s="91"/>
      <c r="B53" s="92"/>
      <c r="C53" s="92"/>
      <c r="D53" s="93"/>
      <c r="E53" s="3"/>
      <c r="F53" s="75"/>
      <c r="G53" s="8" t="s">
        <v>66</v>
      </c>
      <c r="H53" s="3" t="s">
        <v>62</v>
      </c>
      <c r="I53" s="3" t="s">
        <v>65</v>
      </c>
      <c r="J53" s="3" t="s">
        <v>85</v>
      </c>
      <c r="K53" s="3" t="s">
        <v>59</v>
      </c>
      <c r="L53" s="75"/>
    </row>
    <row r="54" spans="1:14" ht="13.5" customHeight="1">
      <c r="A54" s="11" t="s">
        <v>13</v>
      </c>
      <c r="B54" s="11" t="s">
        <v>14</v>
      </c>
      <c r="C54" s="11" t="s">
        <v>15</v>
      </c>
      <c r="D54" s="11" t="s">
        <v>16</v>
      </c>
      <c r="E54" s="12" t="s">
        <v>17</v>
      </c>
      <c r="F54" s="4" t="s">
        <v>18</v>
      </c>
      <c r="G54" s="4" t="s">
        <v>19</v>
      </c>
      <c r="H54" s="5" t="s">
        <v>20</v>
      </c>
      <c r="I54" s="5" t="s">
        <v>21</v>
      </c>
      <c r="J54" s="5" t="s">
        <v>86</v>
      </c>
      <c r="K54" s="5" t="s">
        <v>22</v>
      </c>
      <c r="L54" s="4" t="s">
        <v>23</v>
      </c>
      <c r="M54" s="2"/>
      <c r="N54" s="2"/>
    </row>
    <row r="55" spans="1:14" ht="13.5" customHeight="1">
      <c r="A55" s="25" t="s">
        <v>78</v>
      </c>
      <c r="B55" s="25"/>
      <c r="C55" s="25">
        <v>1.67</v>
      </c>
      <c r="D55" s="25"/>
      <c r="E55" s="26"/>
      <c r="F55" s="27"/>
      <c r="G55" s="25"/>
      <c r="H55" s="26"/>
      <c r="I55" s="26"/>
      <c r="J55" s="26"/>
      <c r="K55" s="26"/>
      <c r="L55" s="26"/>
      <c r="M55" s="2"/>
      <c r="N55" s="2"/>
    </row>
    <row r="56" spans="1:14" ht="13.5" customHeight="1">
      <c r="A56" s="25" t="s">
        <v>79</v>
      </c>
      <c r="B56" s="25">
        <v>33.4</v>
      </c>
      <c r="C56" s="25">
        <v>1.6</v>
      </c>
      <c r="D56" s="28">
        <f>(C55+C56)/2</f>
        <v>1.635</v>
      </c>
      <c r="E56" s="7">
        <f>B56*(D56+0.15)*D$4</f>
        <v>65.5809</v>
      </c>
      <c r="F56" s="27">
        <v>1</v>
      </c>
      <c r="G56" s="29">
        <f>F56*D$4*1.1*C$18</f>
        <v>1.8946495827770364</v>
      </c>
      <c r="H56" s="26">
        <f>B56*D$4*0.15</f>
        <v>5.5110000000000001</v>
      </c>
      <c r="I56" s="26">
        <f>(B56*D$4*(D$5+0.3))-(0.785*D$5^2*B56)</f>
        <v>14.746150099999999</v>
      </c>
      <c r="J56" s="26">
        <f>(0.5*E56)-H56-I56</f>
        <v>12.533299900000001</v>
      </c>
      <c r="K56" s="26">
        <f>E56-G56-H56-I56-J56</f>
        <v>30.895800417222958</v>
      </c>
      <c r="L56" s="26">
        <f>I56+H56+J56</f>
        <v>32.79045</v>
      </c>
      <c r="M56" s="2"/>
      <c r="N56" s="2"/>
    </row>
    <row r="57" spans="1:14" ht="13.5" customHeight="1">
      <c r="A57" s="25" t="s">
        <v>77</v>
      </c>
      <c r="B57" s="25">
        <v>94.7</v>
      </c>
      <c r="C57" s="25">
        <v>1.61</v>
      </c>
      <c r="D57" s="28">
        <f t="shared" ref="D57:D58" si="13">(C56+C57)/2</f>
        <v>1.605</v>
      </c>
      <c r="E57" s="7">
        <f>B57*(D57+0.15)*D$4</f>
        <v>182.81835000000001</v>
      </c>
      <c r="F57" s="27">
        <v>1</v>
      </c>
      <c r="G57" s="29">
        <f t="shared" ref="G57:G58" si="14">F57*D$4*1.1*C$18</f>
        <v>1.8946495827770364</v>
      </c>
      <c r="H57" s="26">
        <f t="shared" ref="H57:H58" si="15">B57*D$4*0.15</f>
        <v>15.625500000000002</v>
      </c>
      <c r="I57" s="26">
        <f t="shared" ref="I57:I58" si="16">(B57*D$4*(D$5+0.3))-(0.785*D$5^2*B57)</f>
        <v>41.810192050000005</v>
      </c>
      <c r="J57" s="26">
        <f t="shared" ref="J57:J58" si="17">(0.5*E57)-H57-I57</f>
        <v>33.973482949999998</v>
      </c>
      <c r="K57" s="26">
        <f t="shared" ref="K57:K58" si="18">E57-G57-H57-I57-J57</f>
        <v>89.514525417222956</v>
      </c>
      <c r="L57" s="26">
        <f t="shared" ref="L57:L58" si="19">I57+H57+J57</f>
        <v>91.409175000000005</v>
      </c>
      <c r="M57" s="80"/>
      <c r="N57" s="2"/>
    </row>
    <row r="58" spans="1:14" ht="13.5" customHeight="1">
      <c r="A58" s="25" t="s">
        <v>47</v>
      </c>
      <c r="B58" s="26">
        <v>13</v>
      </c>
      <c r="C58" s="30">
        <v>1.62</v>
      </c>
      <c r="D58" s="28">
        <f t="shared" si="13"/>
        <v>1.6150000000000002</v>
      </c>
      <c r="E58" s="7">
        <f t="shared" ref="E58" si="20">B58*(D58+0.15)*D$4</f>
        <v>25.239500000000003</v>
      </c>
      <c r="F58" s="31">
        <v>2</v>
      </c>
      <c r="G58" s="29">
        <f t="shared" si="14"/>
        <v>3.7892991655540729</v>
      </c>
      <c r="H58" s="26">
        <f t="shared" si="15"/>
        <v>2.145</v>
      </c>
      <c r="I58" s="26">
        <f t="shared" si="16"/>
        <v>5.7395194999999992</v>
      </c>
      <c r="J58" s="26">
        <f t="shared" si="17"/>
        <v>4.7352305000000028</v>
      </c>
      <c r="K58" s="26">
        <f t="shared" si="18"/>
        <v>8.8304508344459265</v>
      </c>
      <c r="L58" s="26">
        <f t="shared" si="19"/>
        <v>12.619750000000003</v>
      </c>
      <c r="M58" s="80"/>
      <c r="N58" s="2"/>
    </row>
    <row r="59" spans="1:14" ht="13.5" customHeight="1">
      <c r="A59" s="25"/>
      <c r="B59" s="25">
        <f>SUM(B55:B58)</f>
        <v>141.1</v>
      </c>
      <c r="C59" s="94">
        <f>E59/B59/D47-0.15</f>
        <v>1.6130226789510986</v>
      </c>
      <c r="D59" s="95"/>
      <c r="E59" s="26">
        <f>SUM(E55:E58)</f>
        <v>273.63875000000002</v>
      </c>
      <c r="F59" s="83">
        <f>SUM(F56:F58)</f>
        <v>4</v>
      </c>
      <c r="G59" s="26">
        <f>SUM(G56:G58)</f>
        <v>7.5785983311081457</v>
      </c>
      <c r="H59" s="26">
        <f>SUM(H55:H58)</f>
        <v>23.281500000000001</v>
      </c>
      <c r="I59" s="26">
        <f>SUM(I55:I58)</f>
        <v>62.295861650000006</v>
      </c>
      <c r="J59" s="26">
        <f t="shared" ref="J59:K59" si="21">SUM(J55:J58)</f>
        <v>51.242013350000001</v>
      </c>
      <c r="K59" s="26">
        <f t="shared" si="21"/>
        <v>129.24077666889184</v>
      </c>
      <c r="L59" s="26">
        <f>SUM(L55:L58)</f>
        <v>136.81937500000001</v>
      </c>
      <c r="M59" s="2"/>
      <c r="N59" s="2"/>
    </row>
    <row r="60" spans="1:14" ht="13.5" customHeight="1">
      <c r="A60" s="32"/>
      <c r="B60" s="33" t="s">
        <v>44</v>
      </c>
      <c r="C60" s="34"/>
      <c r="D60" s="35"/>
      <c r="E60" s="26">
        <v>0</v>
      </c>
      <c r="F60" s="26"/>
      <c r="G60" s="26"/>
      <c r="H60" s="26"/>
      <c r="I60" s="26"/>
      <c r="J60" s="26"/>
      <c r="K60" s="26"/>
      <c r="L60" s="26"/>
      <c r="M60" s="2"/>
      <c r="N60" s="2"/>
    </row>
    <row r="61" spans="1:14" ht="15">
      <c r="A61" s="96" t="s">
        <v>54</v>
      </c>
      <c r="B61" s="97"/>
      <c r="C61" s="97"/>
      <c r="D61" s="98"/>
      <c r="E61" s="36">
        <f>SUM(E59:E60)</f>
        <v>273.63875000000002</v>
      </c>
      <c r="F61" s="84">
        <f>G59</f>
        <v>7.5785983311081457</v>
      </c>
      <c r="G61" s="85"/>
      <c r="H61" s="37">
        <f t="shared" ref="H61:L61" si="22">SUM(H59:H60)</f>
        <v>23.281500000000001</v>
      </c>
      <c r="I61" s="37">
        <f t="shared" si="22"/>
        <v>62.295861650000006</v>
      </c>
      <c r="J61" s="37">
        <f t="shared" si="22"/>
        <v>51.242013350000001</v>
      </c>
      <c r="K61" s="37">
        <f t="shared" si="22"/>
        <v>129.24077666889184</v>
      </c>
      <c r="L61" s="37">
        <f t="shared" si="22"/>
        <v>136.81937500000001</v>
      </c>
    </row>
    <row r="62" spans="1:14" ht="15">
      <c r="A62" s="50" t="s">
        <v>33</v>
      </c>
      <c r="B62" s="50">
        <v>0</v>
      </c>
      <c r="C62" s="50">
        <v>0</v>
      </c>
      <c r="D62" s="51"/>
      <c r="E62" s="38">
        <f>-B62*C62*2</f>
        <v>0</v>
      </c>
      <c r="F62" s="84"/>
      <c r="G62" s="85"/>
      <c r="H62" s="39"/>
      <c r="I62" s="39"/>
      <c r="J62" s="39"/>
      <c r="K62" s="39">
        <f>E62</f>
        <v>0</v>
      </c>
      <c r="L62" s="39">
        <v>0</v>
      </c>
      <c r="M62" s="2"/>
    </row>
    <row r="63" spans="1:14" ht="15">
      <c r="A63" s="50" t="s">
        <v>53</v>
      </c>
      <c r="B63" s="129">
        <v>0</v>
      </c>
      <c r="C63" s="50">
        <v>0</v>
      </c>
      <c r="D63" s="51"/>
      <c r="E63" s="38">
        <f>-B63*C63*D47</f>
        <v>0</v>
      </c>
      <c r="F63" s="84"/>
      <c r="G63" s="85"/>
      <c r="H63" s="39"/>
      <c r="I63" s="39"/>
      <c r="J63" s="39"/>
      <c r="K63" s="39">
        <v>0</v>
      </c>
      <c r="L63" s="39">
        <v>0</v>
      </c>
    </row>
    <row r="64" spans="1:14" ht="15">
      <c r="A64" s="52"/>
      <c r="B64" s="50"/>
      <c r="C64" s="50"/>
      <c r="D64" s="51" t="s">
        <v>55</v>
      </c>
      <c r="E64" s="40">
        <f t="shared" ref="E64" si="23">SUM(E61:E63)</f>
        <v>273.63875000000002</v>
      </c>
      <c r="F64" s="86">
        <f>F61</f>
        <v>7.5785983311081457</v>
      </c>
      <c r="G64" s="87"/>
      <c r="H64" s="40">
        <f t="shared" ref="H64:K64" si="24">SUM(H61:H63)</f>
        <v>23.281500000000001</v>
      </c>
      <c r="I64" s="40">
        <f t="shared" si="24"/>
        <v>62.295861650000006</v>
      </c>
      <c r="J64" s="40">
        <f t="shared" si="24"/>
        <v>51.242013350000001</v>
      </c>
      <c r="K64" s="40">
        <f t="shared" si="24"/>
        <v>129.24077666889184</v>
      </c>
      <c r="L64" s="40">
        <f>SUM(L61:L63)</f>
        <v>136.81937500000001</v>
      </c>
    </row>
    <row r="65" spans="1:12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</row>
    <row r="66" spans="1:12" ht="15">
      <c r="A66" s="100" t="s">
        <v>36</v>
      </c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</row>
    <row r="67" spans="1:12" ht="15">
      <c r="A67" s="53" t="s">
        <v>51</v>
      </c>
      <c r="B67" s="51"/>
      <c r="C67" s="51"/>
      <c r="D67" s="51"/>
      <c r="E67" s="54"/>
      <c r="F67" s="54"/>
      <c r="G67" s="54"/>
      <c r="H67" s="54"/>
      <c r="I67" s="54"/>
      <c r="J67" s="54"/>
      <c r="K67" s="54"/>
      <c r="L67" s="54"/>
    </row>
    <row r="68" spans="1:12" ht="15">
      <c r="A68" s="46" t="s">
        <v>30</v>
      </c>
      <c r="B68" s="77"/>
      <c r="C68" s="77"/>
      <c r="D68" s="55">
        <v>0.9</v>
      </c>
      <c r="E68" s="54"/>
      <c r="F68" s="54"/>
      <c r="G68" s="54"/>
      <c r="H68" s="54"/>
      <c r="I68" s="54"/>
      <c r="J68" s="54"/>
      <c r="K68" s="54"/>
      <c r="L68" s="54"/>
    </row>
    <row r="69" spans="1:12">
      <c r="A69" s="46" t="s">
        <v>1</v>
      </c>
      <c r="B69" s="46"/>
      <c r="C69" s="46"/>
      <c r="D69" s="55">
        <v>1.1000000000000001</v>
      </c>
      <c r="E69" s="54"/>
      <c r="F69" s="54"/>
      <c r="G69" s="54"/>
      <c r="H69" s="54"/>
      <c r="I69" s="54"/>
      <c r="J69" s="54"/>
      <c r="K69" s="54"/>
      <c r="L69" s="54"/>
    </row>
    <row r="70" spans="1:12">
      <c r="A70" s="46" t="s">
        <v>2</v>
      </c>
      <c r="B70" s="46"/>
      <c r="C70" s="46"/>
      <c r="D70" s="55">
        <v>0.08</v>
      </c>
      <c r="E70" s="54"/>
      <c r="F70" s="54"/>
      <c r="G70" s="54"/>
      <c r="H70" s="54"/>
      <c r="I70" s="54"/>
      <c r="J70" s="54"/>
      <c r="K70" s="54"/>
      <c r="L70" s="54"/>
    </row>
    <row r="71" spans="1:12">
      <c r="A71" s="46" t="s">
        <v>11</v>
      </c>
      <c r="B71" s="46"/>
      <c r="C71" s="46"/>
      <c r="D71" s="55">
        <v>0</v>
      </c>
      <c r="E71" s="54"/>
      <c r="F71" s="54"/>
      <c r="G71" s="54"/>
      <c r="H71" s="54"/>
      <c r="I71" s="54"/>
      <c r="J71" s="54"/>
      <c r="K71" s="54"/>
      <c r="L71" s="54"/>
    </row>
    <row r="72" spans="1:12">
      <c r="A72" s="46" t="s">
        <v>26</v>
      </c>
      <c r="B72" s="46"/>
      <c r="C72" s="46"/>
      <c r="D72" s="55">
        <v>0.15</v>
      </c>
      <c r="E72" s="54"/>
      <c r="F72" s="54"/>
      <c r="G72" s="54"/>
      <c r="H72" s="54"/>
      <c r="I72" s="54"/>
      <c r="J72" s="54"/>
      <c r="K72" s="54"/>
      <c r="L72" s="54"/>
    </row>
    <row r="73" spans="1:12">
      <c r="A73" s="46" t="s">
        <v>12</v>
      </c>
      <c r="B73" s="46"/>
      <c r="C73" s="46"/>
      <c r="D73" s="56">
        <v>0</v>
      </c>
      <c r="E73" s="57"/>
      <c r="F73" s="57"/>
      <c r="G73" s="57"/>
      <c r="H73" s="57"/>
      <c r="I73" s="57"/>
      <c r="J73" s="57"/>
      <c r="K73" s="57"/>
      <c r="L73" s="57"/>
    </row>
    <row r="74" spans="1:12" ht="59.25">
      <c r="A74" s="75" t="s">
        <v>3</v>
      </c>
      <c r="B74" s="75" t="s">
        <v>4</v>
      </c>
      <c r="C74" s="75" t="s">
        <v>31</v>
      </c>
      <c r="D74" s="75" t="s">
        <v>32</v>
      </c>
      <c r="E74" s="3" t="s">
        <v>29</v>
      </c>
      <c r="F74" s="76" t="s">
        <v>5</v>
      </c>
      <c r="G74" s="79" t="s">
        <v>56</v>
      </c>
      <c r="H74" s="89" t="s">
        <v>64</v>
      </c>
      <c r="I74" s="93"/>
      <c r="J74" s="3" t="s">
        <v>84</v>
      </c>
      <c r="K74" s="68" t="s">
        <v>60</v>
      </c>
      <c r="L74" s="75" t="s">
        <v>27</v>
      </c>
    </row>
    <row r="75" spans="1:12" ht="28.5">
      <c r="A75" s="99"/>
      <c r="B75" s="99"/>
      <c r="C75" s="99"/>
      <c r="D75" s="99"/>
      <c r="E75" s="3"/>
      <c r="F75" s="75"/>
      <c r="G75" s="8" t="s">
        <v>66</v>
      </c>
      <c r="H75" s="3" t="s">
        <v>62</v>
      </c>
      <c r="I75" s="3" t="s">
        <v>65</v>
      </c>
      <c r="J75" s="3" t="s">
        <v>85</v>
      </c>
      <c r="K75" s="3" t="s">
        <v>59</v>
      </c>
      <c r="L75" s="75"/>
    </row>
    <row r="76" spans="1:12">
      <c r="A76" s="11" t="s">
        <v>13</v>
      </c>
      <c r="B76" s="11" t="s">
        <v>14</v>
      </c>
      <c r="C76" s="11" t="s">
        <v>15</v>
      </c>
      <c r="D76" s="11" t="s">
        <v>16</v>
      </c>
      <c r="E76" s="12" t="s">
        <v>17</v>
      </c>
      <c r="F76" s="4" t="s">
        <v>18</v>
      </c>
      <c r="G76" s="4" t="s">
        <v>19</v>
      </c>
      <c r="H76" s="5" t="s">
        <v>20</v>
      </c>
      <c r="I76" s="5" t="s">
        <v>21</v>
      </c>
      <c r="J76" s="5" t="s">
        <v>86</v>
      </c>
      <c r="K76" s="5" t="s">
        <v>22</v>
      </c>
      <c r="L76" s="4" t="s">
        <v>23</v>
      </c>
    </row>
    <row r="77" spans="1:12">
      <c r="A77" s="25" t="s">
        <v>46</v>
      </c>
      <c r="B77" s="25"/>
      <c r="C77" s="25">
        <v>1.61</v>
      </c>
      <c r="D77" s="41"/>
      <c r="E77" s="26"/>
      <c r="F77" s="27"/>
      <c r="G77" s="25"/>
      <c r="H77" s="26"/>
      <c r="I77" s="26"/>
      <c r="J77" s="26"/>
      <c r="K77" s="26"/>
      <c r="L77" s="26"/>
    </row>
    <row r="78" spans="1:12">
      <c r="A78" s="25" t="s">
        <v>77</v>
      </c>
      <c r="B78" s="25">
        <v>1</v>
      </c>
      <c r="C78" s="30">
        <v>1.61</v>
      </c>
      <c r="D78" s="25">
        <f>(C77+C78)/2</f>
        <v>1.61</v>
      </c>
      <c r="E78" s="26">
        <f>B78*(D78+0.15)*D69</f>
        <v>1.9360000000000002</v>
      </c>
      <c r="F78" s="27">
        <v>0</v>
      </c>
      <c r="G78" s="29">
        <f>F78*D$4*1.1*C$18</f>
        <v>0</v>
      </c>
      <c r="H78" s="26">
        <f>B78*D69*0.15</f>
        <v>0.16500000000000001</v>
      </c>
      <c r="I78" s="26">
        <f>(B78*D69*(D70+0.3))-(0.785*D70^2*D68)</f>
        <v>0.41347840000000002</v>
      </c>
      <c r="J78" s="26">
        <f>(0.5*E78)-H78-I78</f>
        <v>0.38952160000000002</v>
      </c>
      <c r="K78" s="26">
        <f>E78-G78-H78-I78-J78</f>
        <v>0.96800000000000008</v>
      </c>
      <c r="L78" s="26">
        <f>I78+H78+J78</f>
        <v>0.96800000000000008</v>
      </c>
    </row>
    <row r="79" spans="1:12">
      <c r="A79" s="25"/>
      <c r="B79" s="25">
        <f>B78</f>
        <v>1</v>
      </c>
      <c r="C79" s="94">
        <f>E78/D69/B79-0.15</f>
        <v>1.61</v>
      </c>
      <c r="D79" s="95"/>
      <c r="E79" s="26"/>
      <c r="F79" s="31">
        <v>0</v>
      </c>
      <c r="G79" s="29">
        <f>F79*D$4*1.1*C$18</f>
        <v>0</v>
      </c>
      <c r="H79" s="26"/>
      <c r="I79" s="26"/>
      <c r="J79" s="26"/>
      <c r="K79" s="26"/>
      <c r="L79" s="26"/>
    </row>
    <row r="80" spans="1:12" ht="15">
      <c r="A80" s="96" t="s">
        <v>54</v>
      </c>
      <c r="B80" s="97"/>
      <c r="C80" s="97"/>
      <c r="D80" s="98"/>
      <c r="E80" s="36">
        <f>E78</f>
        <v>1.9360000000000002</v>
      </c>
      <c r="F80" s="84">
        <f>G78</f>
        <v>0</v>
      </c>
      <c r="G80" s="85"/>
      <c r="H80" s="37">
        <f t="shared" ref="H80:L80" si="25">H78</f>
        <v>0.16500000000000001</v>
      </c>
      <c r="I80" s="37">
        <f t="shared" si="25"/>
        <v>0.41347840000000002</v>
      </c>
      <c r="J80" s="37">
        <f t="shared" si="25"/>
        <v>0.38952160000000002</v>
      </c>
      <c r="K80" s="37">
        <f t="shared" si="25"/>
        <v>0.96800000000000008</v>
      </c>
      <c r="L80" s="37">
        <f t="shared" si="25"/>
        <v>0.96800000000000008</v>
      </c>
    </row>
    <row r="81" spans="1:12" ht="15">
      <c r="A81" s="50" t="s">
        <v>33</v>
      </c>
      <c r="B81" s="50">
        <v>0</v>
      </c>
      <c r="C81" s="50">
        <v>0</v>
      </c>
      <c r="D81" s="51"/>
      <c r="E81" s="36">
        <f>-B81*C81*D69</f>
        <v>0</v>
      </c>
      <c r="F81" s="84"/>
      <c r="G81" s="85"/>
      <c r="H81" s="37"/>
      <c r="I81" s="37"/>
      <c r="J81" s="37"/>
      <c r="K81" s="37">
        <f>E81</f>
        <v>0</v>
      </c>
      <c r="L81" s="37">
        <f>K81</f>
        <v>0</v>
      </c>
    </row>
    <row r="82" spans="1:12" ht="15">
      <c r="A82" s="50" t="s">
        <v>53</v>
      </c>
      <c r="B82" s="50">
        <v>0</v>
      </c>
      <c r="C82" s="50">
        <v>0</v>
      </c>
      <c r="D82" s="51"/>
      <c r="E82" s="36">
        <f>-B82*C82*D69</f>
        <v>0</v>
      </c>
      <c r="F82" s="84"/>
      <c r="G82" s="85"/>
      <c r="H82" s="37"/>
      <c r="I82" s="37"/>
      <c r="J82" s="37"/>
      <c r="K82" s="37">
        <v>0</v>
      </c>
      <c r="L82" s="37">
        <f>E82</f>
        <v>0</v>
      </c>
    </row>
    <row r="83" spans="1:12" ht="15">
      <c r="A83" s="50"/>
      <c r="B83" s="50"/>
      <c r="C83" s="50"/>
      <c r="D83" s="51" t="s">
        <v>52</v>
      </c>
      <c r="E83" s="40">
        <f>SUM(E80:E82)</f>
        <v>1.9360000000000002</v>
      </c>
      <c r="F83" s="86">
        <f>F80</f>
        <v>0</v>
      </c>
      <c r="G83" s="87"/>
      <c r="H83" s="40">
        <f t="shared" ref="H83:K83" si="26">SUM(H80:H82)</f>
        <v>0.16500000000000001</v>
      </c>
      <c r="I83" s="40">
        <f t="shared" si="26"/>
        <v>0.41347840000000002</v>
      </c>
      <c r="J83" s="40">
        <f t="shared" si="26"/>
        <v>0.38952160000000002</v>
      </c>
      <c r="K83" s="40">
        <f t="shared" si="26"/>
        <v>0.96800000000000008</v>
      </c>
      <c r="L83" s="40">
        <f>SUM(L80:L82)</f>
        <v>0.96800000000000008</v>
      </c>
    </row>
    <row r="84" spans="1:12" s="81" customFormat="1" ht="15">
      <c r="A84" s="50"/>
      <c r="B84" s="50"/>
      <c r="C84" s="50"/>
      <c r="D84" s="51"/>
      <c r="E84" s="54"/>
      <c r="F84" s="82"/>
      <c r="G84" s="82"/>
      <c r="H84" s="54"/>
      <c r="I84" s="54"/>
      <c r="J84" s="54"/>
      <c r="K84" s="54"/>
      <c r="L84" s="54"/>
    </row>
    <row r="85" spans="1:12" ht="15">
      <c r="A85" s="100" t="s">
        <v>36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</row>
    <row r="86" spans="1:12" ht="15">
      <c r="A86" s="53" t="s">
        <v>51</v>
      </c>
      <c r="B86" s="51"/>
      <c r="C86" s="51"/>
      <c r="D86" s="51"/>
      <c r="E86" s="54"/>
      <c r="F86" s="54"/>
      <c r="G86" s="54"/>
      <c r="H86" s="54"/>
      <c r="I86" s="54"/>
      <c r="J86" s="54"/>
      <c r="K86" s="54"/>
      <c r="L86" s="54"/>
    </row>
    <row r="87" spans="1:12" ht="15">
      <c r="A87" s="46" t="s">
        <v>30</v>
      </c>
      <c r="B87" s="77"/>
      <c r="C87" s="77"/>
      <c r="D87" s="55">
        <v>0.9</v>
      </c>
      <c r="E87" s="54"/>
      <c r="F87" s="54"/>
      <c r="G87" s="54"/>
      <c r="H87" s="54"/>
      <c r="I87" s="54"/>
      <c r="J87" s="54"/>
      <c r="K87" s="54"/>
      <c r="L87" s="54"/>
    </row>
    <row r="88" spans="1:12">
      <c r="A88" s="46" t="s">
        <v>1</v>
      </c>
      <c r="B88" s="46"/>
      <c r="C88" s="46"/>
      <c r="D88" s="55">
        <v>1.1000000000000001</v>
      </c>
      <c r="E88" s="54"/>
      <c r="F88" s="54"/>
      <c r="G88" s="54"/>
      <c r="H88" s="54"/>
      <c r="I88" s="54"/>
      <c r="J88" s="54"/>
      <c r="K88" s="54"/>
      <c r="L88" s="54"/>
    </row>
    <row r="89" spans="1:12">
      <c r="A89" s="46" t="s">
        <v>2</v>
      </c>
      <c r="B89" s="46"/>
      <c r="C89" s="46"/>
      <c r="D89" s="55">
        <v>0.08</v>
      </c>
      <c r="E89" s="54"/>
      <c r="F89" s="54"/>
      <c r="G89" s="54"/>
      <c r="H89" s="54"/>
      <c r="I89" s="54"/>
      <c r="J89" s="54"/>
      <c r="K89" s="54"/>
      <c r="L89" s="54"/>
    </row>
    <row r="90" spans="1:12">
      <c r="A90" s="46" t="s">
        <v>11</v>
      </c>
      <c r="B90" s="46"/>
      <c r="C90" s="46"/>
      <c r="D90" s="55">
        <v>0</v>
      </c>
      <c r="E90" s="54"/>
      <c r="F90" s="54"/>
      <c r="G90" s="54"/>
      <c r="H90" s="54"/>
      <c r="I90" s="54"/>
      <c r="J90" s="54"/>
      <c r="K90" s="54"/>
      <c r="L90" s="54"/>
    </row>
    <row r="91" spans="1:12">
      <c r="A91" s="46" t="s">
        <v>26</v>
      </c>
      <c r="B91" s="46"/>
      <c r="C91" s="46"/>
      <c r="D91" s="55">
        <v>0.15</v>
      </c>
      <c r="E91" s="54"/>
      <c r="F91" s="54"/>
      <c r="G91" s="54"/>
      <c r="H91" s="54"/>
      <c r="I91" s="54"/>
      <c r="J91" s="54"/>
      <c r="K91" s="54"/>
      <c r="L91" s="54"/>
    </row>
    <row r="92" spans="1:12">
      <c r="A92" s="46" t="s">
        <v>12</v>
      </c>
      <c r="B92" s="46"/>
      <c r="C92" s="46"/>
      <c r="D92" s="56">
        <v>0</v>
      </c>
      <c r="E92" s="57"/>
      <c r="F92" s="57"/>
      <c r="G92" s="57"/>
      <c r="H92" s="57"/>
      <c r="I92" s="57"/>
      <c r="J92" s="57"/>
      <c r="K92" s="57"/>
      <c r="L92" s="57"/>
    </row>
    <row r="93" spans="1:12" ht="59.25">
      <c r="A93" s="75" t="s">
        <v>3</v>
      </c>
      <c r="B93" s="75" t="s">
        <v>4</v>
      </c>
      <c r="C93" s="75" t="s">
        <v>31</v>
      </c>
      <c r="D93" s="75" t="s">
        <v>32</v>
      </c>
      <c r="E93" s="3" t="s">
        <v>29</v>
      </c>
      <c r="F93" s="76" t="s">
        <v>5</v>
      </c>
      <c r="G93" s="79" t="s">
        <v>56</v>
      </c>
      <c r="H93" s="89" t="s">
        <v>64</v>
      </c>
      <c r="I93" s="93"/>
      <c r="J93" s="3" t="s">
        <v>84</v>
      </c>
      <c r="K93" s="68" t="s">
        <v>60</v>
      </c>
      <c r="L93" s="75" t="s">
        <v>27</v>
      </c>
    </row>
    <row r="94" spans="1:12" ht="28.5">
      <c r="A94" s="99"/>
      <c r="B94" s="99"/>
      <c r="C94" s="99"/>
      <c r="D94" s="99"/>
      <c r="E94" s="3"/>
      <c r="F94" s="75"/>
      <c r="G94" s="8" t="s">
        <v>66</v>
      </c>
      <c r="H94" s="3" t="s">
        <v>62</v>
      </c>
      <c r="I94" s="3" t="s">
        <v>65</v>
      </c>
      <c r="J94" s="3" t="s">
        <v>85</v>
      </c>
      <c r="K94" s="3" t="s">
        <v>59</v>
      </c>
      <c r="L94" s="75"/>
    </row>
    <row r="95" spans="1:12">
      <c r="A95" s="11" t="s">
        <v>13</v>
      </c>
      <c r="B95" s="11" t="s">
        <v>14</v>
      </c>
      <c r="C95" s="11" t="s">
        <v>15</v>
      </c>
      <c r="D95" s="11" t="s">
        <v>16</v>
      </c>
      <c r="E95" s="12" t="s">
        <v>17</v>
      </c>
      <c r="F95" s="4" t="s">
        <v>18</v>
      </c>
      <c r="G95" s="4" t="s">
        <v>19</v>
      </c>
      <c r="H95" s="5" t="s">
        <v>20</v>
      </c>
      <c r="I95" s="5" t="s">
        <v>21</v>
      </c>
      <c r="J95" s="5" t="s">
        <v>86</v>
      </c>
      <c r="K95" s="5" t="s">
        <v>22</v>
      </c>
      <c r="L95" s="4" t="s">
        <v>23</v>
      </c>
    </row>
    <row r="96" spans="1:12">
      <c r="A96" s="25" t="s">
        <v>81</v>
      </c>
      <c r="B96" s="25"/>
      <c r="C96" s="25">
        <v>1.67</v>
      </c>
      <c r="D96" s="41"/>
      <c r="E96" s="26"/>
      <c r="F96" s="27"/>
      <c r="G96" s="25"/>
      <c r="H96" s="26"/>
      <c r="I96" s="26"/>
      <c r="J96" s="26"/>
      <c r="K96" s="26"/>
      <c r="L96" s="26"/>
    </row>
    <row r="97" spans="1:12">
      <c r="A97" s="25" t="s">
        <v>78</v>
      </c>
      <c r="B97" s="25">
        <v>1</v>
      </c>
      <c r="C97" s="30">
        <v>1.67</v>
      </c>
      <c r="D97" s="25">
        <f>(C96+C97)/2</f>
        <v>1.67</v>
      </c>
      <c r="E97" s="26">
        <f>B97*(D97+0.15)*D88</f>
        <v>2.0019999999999998</v>
      </c>
      <c r="F97" s="27">
        <v>0</v>
      </c>
      <c r="G97" s="29">
        <f>F97*D$4*1.1*C$18</f>
        <v>0</v>
      </c>
      <c r="H97" s="26">
        <f>B97*D88*0.15</f>
        <v>0.16500000000000001</v>
      </c>
      <c r="I97" s="26">
        <f>(B97*D88*(D89+0.3))-(0.785*D89^2*D87)</f>
        <v>0.41347840000000002</v>
      </c>
      <c r="J97" s="26">
        <f>(0.5*E97)-H97-I97</f>
        <v>0.42252159999999983</v>
      </c>
      <c r="K97" s="26">
        <f>E97-G97-H97-I97-J97</f>
        <v>1.0009999999999999</v>
      </c>
      <c r="L97" s="26">
        <f>I97+H97+J97</f>
        <v>1.0009999999999999</v>
      </c>
    </row>
    <row r="98" spans="1:12">
      <c r="A98" s="25"/>
      <c r="B98" s="25">
        <f>B97</f>
        <v>1</v>
      </c>
      <c r="C98" s="94">
        <f>E97/D88/B98-0.15</f>
        <v>1.6699999999999997</v>
      </c>
      <c r="D98" s="95"/>
      <c r="E98" s="26"/>
      <c r="F98" s="31">
        <v>0</v>
      </c>
      <c r="G98" s="29">
        <f>F98*D$4*1.1*C$18</f>
        <v>0</v>
      </c>
      <c r="H98" s="26"/>
      <c r="I98" s="26"/>
      <c r="J98" s="26"/>
      <c r="K98" s="26"/>
      <c r="L98" s="26"/>
    </row>
    <row r="99" spans="1:12" ht="15">
      <c r="A99" s="96" t="s">
        <v>54</v>
      </c>
      <c r="B99" s="97"/>
      <c r="C99" s="97"/>
      <c r="D99" s="98"/>
      <c r="E99" s="36">
        <f>E97</f>
        <v>2.0019999999999998</v>
      </c>
      <c r="F99" s="84">
        <f>G97</f>
        <v>0</v>
      </c>
      <c r="G99" s="85"/>
      <c r="H99" s="37">
        <f t="shared" ref="H99:L99" si="27">H97</f>
        <v>0.16500000000000001</v>
      </c>
      <c r="I99" s="37">
        <f t="shared" si="27"/>
        <v>0.41347840000000002</v>
      </c>
      <c r="J99" s="37">
        <f t="shared" si="27"/>
        <v>0.42252159999999983</v>
      </c>
      <c r="K99" s="37">
        <f t="shared" si="27"/>
        <v>1.0009999999999999</v>
      </c>
      <c r="L99" s="37">
        <f t="shared" si="27"/>
        <v>1.0009999999999999</v>
      </c>
    </row>
    <row r="100" spans="1:12" ht="15">
      <c r="A100" s="50" t="s">
        <v>33</v>
      </c>
      <c r="B100" s="50">
        <v>0</v>
      </c>
      <c r="C100" s="50">
        <v>0</v>
      </c>
      <c r="D100" s="51"/>
      <c r="E100" s="36">
        <f>-B100*C100*D88</f>
        <v>0</v>
      </c>
      <c r="F100" s="84"/>
      <c r="G100" s="85"/>
      <c r="H100" s="37"/>
      <c r="I100" s="37"/>
      <c r="J100" s="37"/>
      <c r="K100" s="37">
        <f>E100</f>
        <v>0</v>
      </c>
      <c r="L100" s="37">
        <f>K100</f>
        <v>0</v>
      </c>
    </row>
    <row r="101" spans="1:12" ht="15">
      <c r="A101" s="50" t="s">
        <v>53</v>
      </c>
      <c r="B101" s="50">
        <v>0</v>
      </c>
      <c r="C101" s="50">
        <v>0</v>
      </c>
      <c r="D101" s="51"/>
      <c r="E101" s="36">
        <f>-B101*C101*D88</f>
        <v>0</v>
      </c>
      <c r="F101" s="84"/>
      <c r="G101" s="85"/>
      <c r="H101" s="37"/>
      <c r="I101" s="37"/>
      <c r="J101" s="37"/>
      <c r="K101" s="37">
        <v>0</v>
      </c>
      <c r="L101" s="37">
        <f>E101</f>
        <v>0</v>
      </c>
    </row>
    <row r="102" spans="1:12" ht="15">
      <c r="A102" s="50"/>
      <c r="B102" s="50"/>
      <c r="C102" s="50"/>
      <c r="D102" s="51" t="s">
        <v>52</v>
      </c>
      <c r="E102" s="40">
        <f>SUM(E99:E101)</f>
        <v>2.0019999999999998</v>
      </c>
      <c r="F102" s="86">
        <f>F99</f>
        <v>0</v>
      </c>
      <c r="G102" s="87"/>
      <c r="H102" s="40">
        <f t="shared" ref="H102:K102" si="28">SUM(H99:H101)</f>
        <v>0.16500000000000001</v>
      </c>
      <c r="I102" s="40">
        <f t="shared" si="28"/>
        <v>0.41347840000000002</v>
      </c>
      <c r="J102" s="40">
        <f t="shared" si="28"/>
        <v>0.42252159999999983</v>
      </c>
      <c r="K102" s="40">
        <f t="shared" si="28"/>
        <v>1.0009999999999999</v>
      </c>
      <c r="L102" s="40">
        <f>SUM(L99:L101)</f>
        <v>1.0009999999999999</v>
      </c>
    </row>
    <row r="103" spans="1:12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ht="15">
      <c r="A104" s="88" t="s">
        <v>36</v>
      </c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</row>
    <row r="105" spans="1:12" ht="15">
      <c r="A105" s="42" t="s">
        <v>50</v>
      </c>
      <c r="B105" s="77"/>
      <c r="C105" s="77"/>
      <c r="D105" s="77"/>
      <c r="E105" s="44"/>
      <c r="F105" s="44"/>
      <c r="G105" s="44"/>
      <c r="H105" s="44"/>
      <c r="I105" s="45"/>
      <c r="J105" s="45"/>
      <c r="K105" s="77"/>
      <c r="L105" s="77"/>
    </row>
    <row r="106" spans="1:12" ht="15">
      <c r="A106" s="46" t="s">
        <v>30</v>
      </c>
      <c r="B106" s="77"/>
      <c r="C106" s="77"/>
      <c r="D106" s="46">
        <v>0.9</v>
      </c>
      <c r="E106" s="46"/>
      <c r="F106" s="46"/>
      <c r="G106" s="46"/>
      <c r="H106" s="44"/>
      <c r="I106" s="47"/>
      <c r="J106" s="47"/>
      <c r="K106" s="77"/>
      <c r="L106" s="77"/>
    </row>
    <row r="107" spans="1:12">
      <c r="A107" s="46" t="s">
        <v>1</v>
      </c>
      <c r="B107" s="46"/>
      <c r="C107" s="46"/>
      <c r="D107" s="46">
        <v>1.1000000000000001</v>
      </c>
      <c r="E107" s="48"/>
      <c r="F107" s="48"/>
      <c r="G107" s="48"/>
      <c r="H107" s="48"/>
      <c r="I107" s="47"/>
      <c r="J107" s="47"/>
      <c r="K107" s="48"/>
      <c r="L107" s="46"/>
    </row>
    <row r="108" spans="1:12">
      <c r="A108" s="46" t="s">
        <v>2</v>
      </c>
      <c r="B108" s="46"/>
      <c r="C108" s="46"/>
      <c r="D108" s="46">
        <v>0.11</v>
      </c>
      <c r="E108" s="48"/>
      <c r="F108" s="48"/>
      <c r="G108" s="48"/>
      <c r="H108" s="48"/>
      <c r="I108" s="47"/>
      <c r="J108" s="47"/>
      <c r="K108" s="48"/>
      <c r="L108" s="46"/>
    </row>
    <row r="109" spans="1:12">
      <c r="A109" s="46" t="s">
        <v>11</v>
      </c>
      <c r="B109" s="46"/>
      <c r="C109" s="46"/>
      <c r="D109" s="46">
        <v>0</v>
      </c>
      <c r="E109" s="48"/>
      <c r="F109" s="48"/>
      <c r="G109" s="48"/>
      <c r="H109" s="48"/>
      <c r="I109" s="47"/>
      <c r="J109" s="47"/>
      <c r="K109" s="48"/>
      <c r="L109" s="46"/>
    </row>
    <row r="110" spans="1:12">
      <c r="A110" s="46" t="s">
        <v>26</v>
      </c>
      <c r="B110" s="46"/>
      <c r="C110" s="46"/>
      <c r="D110" s="46">
        <v>0.15</v>
      </c>
      <c r="E110" s="48"/>
      <c r="F110" s="48"/>
      <c r="G110" s="48"/>
      <c r="H110" s="48"/>
      <c r="I110" s="48"/>
      <c r="J110" s="48"/>
      <c r="K110" s="48"/>
      <c r="L110" s="46"/>
    </row>
    <row r="111" spans="1:12">
      <c r="A111" s="46" t="s">
        <v>12</v>
      </c>
      <c r="B111" s="46"/>
      <c r="C111" s="46"/>
      <c r="D111" s="44">
        <v>0</v>
      </c>
      <c r="E111" s="48"/>
      <c r="F111" s="48"/>
      <c r="G111" s="48"/>
      <c r="H111" s="48"/>
      <c r="I111" s="47"/>
      <c r="J111" s="47"/>
      <c r="K111" s="48"/>
      <c r="L111" s="46"/>
    </row>
    <row r="112" spans="1:12" ht="59.25">
      <c r="A112" s="75" t="s">
        <v>3</v>
      </c>
      <c r="B112" s="75" t="s">
        <v>4</v>
      </c>
      <c r="C112" s="75" t="s">
        <v>31</v>
      </c>
      <c r="D112" s="75" t="s">
        <v>32</v>
      </c>
      <c r="E112" s="3" t="s">
        <v>29</v>
      </c>
      <c r="F112" s="76" t="s">
        <v>5</v>
      </c>
      <c r="G112" s="79" t="s">
        <v>56</v>
      </c>
      <c r="H112" s="89" t="s">
        <v>64</v>
      </c>
      <c r="I112" s="90"/>
      <c r="J112" s="3" t="s">
        <v>84</v>
      </c>
      <c r="K112" s="68" t="s">
        <v>60</v>
      </c>
      <c r="L112" s="75" t="s">
        <v>27</v>
      </c>
    </row>
    <row r="113" spans="1:12" ht="28.5">
      <c r="A113" s="91"/>
      <c r="B113" s="92"/>
      <c r="C113" s="92"/>
      <c r="D113" s="93"/>
      <c r="E113" s="3"/>
      <c r="F113" s="75"/>
      <c r="G113" s="8" t="s">
        <v>66</v>
      </c>
      <c r="H113" s="3" t="s">
        <v>62</v>
      </c>
      <c r="I113" s="3" t="s">
        <v>65</v>
      </c>
      <c r="J113" s="3" t="s">
        <v>85</v>
      </c>
      <c r="K113" s="3" t="s">
        <v>59</v>
      </c>
      <c r="L113" s="75"/>
    </row>
    <row r="114" spans="1:12">
      <c r="A114" s="11" t="s">
        <v>13</v>
      </c>
      <c r="B114" s="11" t="s">
        <v>14</v>
      </c>
      <c r="C114" s="11" t="s">
        <v>15</v>
      </c>
      <c r="D114" s="11" t="s">
        <v>16</v>
      </c>
      <c r="E114" s="12" t="s">
        <v>17</v>
      </c>
      <c r="F114" s="4" t="s">
        <v>18</v>
      </c>
      <c r="G114" s="4" t="s">
        <v>19</v>
      </c>
      <c r="H114" s="5" t="s">
        <v>20</v>
      </c>
      <c r="I114" s="5" t="s">
        <v>21</v>
      </c>
      <c r="J114" s="5" t="s">
        <v>86</v>
      </c>
      <c r="K114" s="5" t="s">
        <v>22</v>
      </c>
      <c r="L114" s="4" t="s">
        <v>23</v>
      </c>
    </row>
    <row r="115" spans="1:12">
      <c r="A115" s="25" t="s">
        <v>79</v>
      </c>
      <c r="B115" s="25"/>
      <c r="C115" s="25">
        <v>1.6</v>
      </c>
      <c r="D115" s="25"/>
      <c r="E115" s="26"/>
      <c r="F115" s="27"/>
      <c r="G115" s="25"/>
      <c r="H115" s="26"/>
      <c r="I115" s="26"/>
      <c r="J115" s="7"/>
      <c r="K115" s="26"/>
      <c r="L115" s="26"/>
    </row>
    <row r="116" spans="1:12">
      <c r="A116" s="25" t="s">
        <v>76</v>
      </c>
      <c r="B116" s="25">
        <v>84</v>
      </c>
      <c r="C116" s="25">
        <v>1.6</v>
      </c>
      <c r="D116" s="28">
        <f>(C115+C116)/2</f>
        <v>1.6</v>
      </c>
      <c r="E116" s="7">
        <f>B116*(D116+0.15)*D$4</f>
        <v>161.70000000000002</v>
      </c>
      <c r="F116" s="27">
        <v>1</v>
      </c>
      <c r="G116" s="29">
        <f>F116*D$4*1.1*C$18</f>
        <v>1.8946495827770364</v>
      </c>
      <c r="H116" s="26">
        <f>B116*D$4*0.15</f>
        <v>13.860000000000001</v>
      </c>
      <c r="I116" s="26">
        <f>(B116*D$4*(D$5+0.3))-(0.785*D$5^2*B116)</f>
        <v>37.086126</v>
      </c>
      <c r="J116" s="7">
        <f>(0.5*E116)-H116-I116</f>
        <v>29.903874000000009</v>
      </c>
      <c r="K116" s="26">
        <f>E116-G116-H116-I116-J116</f>
        <v>78.955350417222945</v>
      </c>
      <c r="L116" s="26">
        <f>I116+H116+J116</f>
        <v>80.850000000000009</v>
      </c>
    </row>
    <row r="117" spans="1:12">
      <c r="A117" s="25" t="s">
        <v>83</v>
      </c>
      <c r="B117" s="26">
        <v>7.3</v>
      </c>
      <c r="C117" s="30">
        <v>1.55</v>
      </c>
      <c r="D117" s="28">
        <f>(C116+C117)/2</f>
        <v>1.5750000000000002</v>
      </c>
      <c r="E117" s="7">
        <f t="shared" ref="E117" si="29">B117*(D117+0.15)*D$4</f>
        <v>13.851750000000003</v>
      </c>
      <c r="F117" s="31">
        <v>0</v>
      </c>
      <c r="G117" s="29">
        <f t="shared" ref="G117" si="30">F117*D$4*1.1*C$18</f>
        <v>0</v>
      </c>
      <c r="H117" s="26">
        <f t="shared" ref="H117" si="31">B117*D$4*0.15</f>
        <v>1.2045000000000001</v>
      </c>
      <c r="I117" s="26">
        <f t="shared" ref="I117" si="32">(B117*D$4*(D$5+0.3))-(0.785*D$5^2*B117)</f>
        <v>3.2229609500000005</v>
      </c>
      <c r="J117" s="7">
        <f t="shared" ref="J117" si="33">(0.5*E117)-H117-I117</f>
        <v>2.4984140500000005</v>
      </c>
      <c r="K117" s="26">
        <f>E117-G117-H117-I117-J117</f>
        <v>6.9258750000000013</v>
      </c>
      <c r="L117" s="26">
        <f>I117+H117+J117</f>
        <v>6.9258750000000013</v>
      </c>
    </row>
    <row r="118" spans="1:12">
      <c r="A118" s="25"/>
      <c r="B118" s="25">
        <f>SUM(B115:B117)</f>
        <v>91.3</v>
      </c>
      <c r="C118" s="94">
        <f>E118/B118/D107-0.15</f>
        <v>1.5980010952902521</v>
      </c>
      <c r="D118" s="95"/>
      <c r="E118" s="26">
        <f>SUM(E115:E117)</f>
        <v>175.55175000000003</v>
      </c>
      <c r="F118" s="83">
        <f>SUM(F116:F117)</f>
        <v>1</v>
      </c>
      <c r="G118" s="26">
        <f>SUM(G116:G117)</f>
        <v>1.8946495827770364</v>
      </c>
      <c r="H118" s="26">
        <f>SUM(H115:H117)</f>
        <v>15.064500000000001</v>
      </c>
      <c r="I118" s="26">
        <f>SUM(I115:I117)</f>
        <v>40.309086950000001</v>
      </c>
      <c r="J118" s="26">
        <f>SUM(J115:J117)</f>
        <v>32.40228805000001</v>
      </c>
      <c r="K118" s="26">
        <f>SUM(K115:K117)</f>
        <v>85.88122541722295</v>
      </c>
      <c r="L118" s="26">
        <f>SUM(L115:L117)</f>
        <v>87.775875000000013</v>
      </c>
    </row>
    <row r="119" spans="1:12">
      <c r="A119" s="32"/>
      <c r="B119" s="33" t="s">
        <v>44</v>
      </c>
      <c r="C119" s="34"/>
      <c r="D119" s="35"/>
      <c r="E119" s="26">
        <v>0</v>
      </c>
      <c r="F119" s="26"/>
      <c r="G119" s="26"/>
      <c r="H119" s="26"/>
      <c r="I119" s="26"/>
      <c r="J119" s="26"/>
      <c r="K119" s="26"/>
      <c r="L119" s="26"/>
    </row>
    <row r="120" spans="1:12" ht="15">
      <c r="A120" s="96" t="s">
        <v>54</v>
      </c>
      <c r="B120" s="97"/>
      <c r="C120" s="97"/>
      <c r="D120" s="98"/>
      <c r="E120" s="36">
        <f>SUM(E118:E119)</f>
        <v>175.55175000000003</v>
      </c>
      <c r="F120" s="84">
        <f>G118</f>
        <v>1.8946495827770364</v>
      </c>
      <c r="G120" s="85"/>
      <c r="H120" s="37">
        <f t="shared" ref="H120:L120" si="34">SUM(H118:H119)</f>
        <v>15.064500000000001</v>
      </c>
      <c r="I120" s="37">
        <f t="shared" si="34"/>
        <v>40.309086950000001</v>
      </c>
      <c r="J120" s="37">
        <f t="shared" si="34"/>
        <v>32.40228805000001</v>
      </c>
      <c r="K120" s="37">
        <f t="shared" si="34"/>
        <v>85.88122541722295</v>
      </c>
      <c r="L120" s="37">
        <f t="shared" si="34"/>
        <v>87.775875000000013</v>
      </c>
    </row>
    <row r="121" spans="1:12" ht="15">
      <c r="A121" s="50" t="s">
        <v>33</v>
      </c>
      <c r="B121" s="50">
        <v>0</v>
      </c>
      <c r="C121" s="50">
        <v>0</v>
      </c>
      <c r="D121" s="51"/>
      <c r="E121" s="38">
        <f>-B121*C121*2</f>
        <v>0</v>
      </c>
      <c r="F121" s="84"/>
      <c r="G121" s="85"/>
      <c r="H121" s="39"/>
      <c r="I121" s="39"/>
      <c r="J121" s="39"/>
      <c r="K121" s="39">
        <f>E121</f>
        <v>0</v>
      </c>
      <c r="L121" s="39">
        <v>0</v>
      </c>
    </row>
    <row r="122" spans="1:12" ht="15">
      <c r="A122" s="50" t="s">
        <v>53</v>
      </c>
      <c r="B122" s="129">
        <v>0</v>
      </c>
      <c r="C122" s="50">
        <v>0</v>
      </c>
      <c r="D122" s="51"/>
      <c r="E122" s="38">
        <f>-B122*C122*D107</f>
        <v>0</v>
      </c>
      <c r="F122" s="84"/>
      <c r="G122" s="85"/>
      <c r="H122" s="39"/>
      <c r="I122" s="39"/>
      <c r="J122" s="39"/>
      <c r="K122" s="39">
        <v>0</v>
      </c>
      <c r="L122" s="39">
        <v>0</v>
      </c>
    </row>
    <row r="123" spans="1:12" ht="15">
      <c r="A123" s="52"/>
      <c r="B123" s="50"/>
      <c r="C123" s="50"/>
      <c r="D123" s="51" t="s">
        <v>55</v>
      </c>
      <c r="E123" s="40">
        <f t="shared" ref="E123" si="35">SUM(E120:E122)</f>
        <v>175.55175000000003</v>
      </c>
      <c r="F123" s="86">
        <f>F120</f>
        <v>1.8946495827770364</v>
      </c>
      <c r="G123" s="87"/>
      <c r="H123" s="40">
        <f t="shared" ref="H123:K123" si="36">SUM(H120:H122)</f>
        <v>15.064500000000001</v>
      </c>
      <c r="I123" s="40">
        <f t="shared" si="36"/>
        <v>40.309086950000001</v>
      </c>
      <c r="J123" s="40">
        <f t="shared" si="36"/>
        <v>32.40228805000001</v>
      </c>
      <c r="K123" s="40">
        <f t="shared" si="36"/>
        <v>85.88122541722295</v>
      </c>
      <c r="L123" s="40">
        <f>SUM(L120:L122)</f>
        <v>87.775875000000013</v>
      </c>
    </row>
    <row r="124" spans="1:12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ht="15">
      <c r="A125" s="100" t="s">
        <v>36</v>
      </c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</row>
    <row r="126" spans="1:12" ht="15">
      <c r="A126" s="53" t="s">
        <v>51</v>
      </c>
      <c r="B126" s="51"/>
      <c r="C126" s="51"/>
      <c r="D126" s="51"/>
      <c r="E126" s="54"/>
      <c r="F126" s="54"/>
      <c r="G126" s="54"/>
      <c r="H126" s="54"/>
      <c r="I126" s="54"/>
      <c r="J126" s="54"/>
      <c r="K126" s="54"/>
      <c r="L126" s="54"/>
    </row>
    <row r="127" spans="1:12" ht="15">
      <c r="A127" s="46" t="s">
        <v>30</v>
      </c>
      <c r="B127" s="77"/>
      <c r="C127" s="77"/>
      <c r="D127" s="55">
        <v>0.9</v>
      </c>
      <c r="E127" s="54"/>
      <c r="F127" s="54"/>
      <c r="G127" s="54"/>
      <c r="H127" s="54"/>
      <c r="I127" s="54"/>
      <c r="J127" s="54"/>
      <c r="K127" s="54"/>
      <c r="L127" s="54"/>
    </row>
    <row r="128" spans="1:12">
      <c r="A128" s="46" t="s">
        <v>1</v>
      </c>
      <c r="B128" s="46"/>
      <c r="C128" s="46"/>
      <c r="D128" s="55">
        <v>1.1000000000000001</v>
      </c>
      <c r="E128" s="54"/>
      <c r="F128" s="54"/>
      <c r="G128" s="54"/>
      <c r="H128" s="54"/>
      <c r="I128" s="54"/>
      <c r="J128" s="54"/>
      <c r="K128" s="54"/>
      <c r="L128" s="54"/>
    </row>
    <row r="129" spans="1:12">
      <c r="A129" s="46" t="s">
        <v>2</v>
      </c>
      <c r="B129" s="46"/>
      <c r="C129" s="46"/>
      <c r="D129" s="55">
        <v>0.08</v>
      </c>
      <c r="E129" s="54"/>
      <c r="F129" s="54"/>
      <c r="G129" s="54"/>
      <c r="H129" s="54"/>
      <c r="I129" s="54"/>
      <c r="J129" s="54"/>
      <c r="K129" s="54"/>
      <c r="L129" s="54"/>
    </row>
    <row r="130" spans="1:12">
      <c r="A130" s="46" t="s">
        <v>11</v>
      </c>
      <c r="B130" s="46"/>
      <c r="C130" s="46"/>
      <c r="D130" s="55">
        <v>0</v>
      </c>
      <c r="E130" s="54"/>
      <c r="F130" s="54"/>
      <c r="G130" s="54"/>
      <c r="H130" s="54"/>
      <c r="I130" s="54"/>
      <c r="J130" s="54"/>
      <c r="K130" s="54"/>
      <c r="L130" s="54"/>
    </row>
    <row r="131" spans="1:12">
      <c r="A131" s="46" t="s">
        <v>26</v>
      </c>
      <c r="B131" s="46"/>
      <c r="C131" s="46"/>
      <c r="D131" s="55">
        <v>0.15</v>
      </c>
      <c r="E131" s="54"/>
      <c r="F131" s="54"/>
      <c r="G131" s="54"/>
      <c r="H131" s="54"/>
      <c r="I131" s="54"/>
      <c r="J131" s="54"/>
      <c r="K131" s="54"/>
      <c r="L131" s="54"/>
    </row>
    <row r="132" spans="1:12">
      <c r="A132" s="46" t="s">
        <v>12</v>
      </c>
      <c r="B132" s="46"/>
      <c r="C132" s="46"/>
      <c r="D132" s="56">
        <v>0</v>
      </c>
      <c r="E132" s="57"/>
      <c r="F132" s="57"/>
      <c r="G132" s="57"/>
      <c r="H132" s="57"/>
      <c r="I132" s="57"/>
      <c r="J132" s="57"/>
      <c r="K132" s="57"/>
      <c r="L132" s="57"/>
    </row>
    <row r="133" spans="1:12" ht="59.25">
      <c r="A133" s="24" t="s">
        <v>3</v>
      </c>
      <c r="B133" s="24" t="s">
        <v>4</v>
      </c>
      <c r="C133" s="24" t="s">
        <v>31</v>
      </c>
      <c r="D133" s="24" t="s">
        <v>32</v>
      </c>
      <c r="E133" s="3" t="s">
        <v>29</v>
      </c>
      <c r="F133" s="71" t="s">
        <v>5</v>
      </c>
      <c r="G133" s="79" t="s">
        <v>56</v>
      </c>
      <c r="H133" s="89" t="s">
        <v>64</v>
      </c>
      <c r="I133" s="93"/>
      <c r="J133" s="3" t="s">
        <v>84</v>
      </c>
      <c r="K133" s="68" t="s">
        <v>60</v>
      </c>
      <c r="L133" s="24" t="s">
        <v>27</v>
      </c>
    </row>
    <row r="134" spans="1:12" ht="28.5">
      <c r="A134" s="99"/>
      <c r="B134" s="99"/>
      <c r="C134" s="99"/>
      <c r="D134" s="99"/>
      <c r="E134" s="3"/>
      <c r="F134" s="69"/>
      <c r="G134" s="8" t="s">
        <v>66</v>
      </c>
      <c r="H134" s="3" t="s">
        <v>62</v>
      </c>
      <c r="I134" s="3" t="s">
        <v>65</v>
      </c>
      <c r="J134" s="3" t="s">
        <v>85</v>
      </c>
      <c r="K134" s="3" t="s">
        <v>59</v>
      </c>
      <c r="L134" s="65"/>
    </row>
    <row r="135" spans="1:12">
      <c r="A135" s="11" t="s">
        <v>13</v>
      </c>
      <c r="B135" s="11" t="s">
        <v>14</v>
      </c>
      <c r="C135" s="11" t="s">
        <v>15</v>
      </c>
      <c r="D135" s="11" t="s">
        <v>16</v>
      </c>
      <c r="E135" s="12" t="s">
        <v>17</v>
      </c>
      <c r="F135" s="4" t="s">
        <v>18</v>
      </c>
      <c r="G135" s="4" t="s">
        <v>19</v>
      </c>
      <c r="H135" s="5" t="s">
        <v>20</v>
      </c>
      <c r="I135" s="5" t="s">
        <v>21</v>
      </c>
      <c r="J135" s="5" t="s">
        <v>86</v>
      </c>
      <c r="K135" s="5" t="s">
        <v>22</v>
      </c>
      <c r="L135" s="4" t="s">
        <v>23</v>
      </c>
    </row>
    <row r="136" spans="1:12">
      <c r="A136" s="25" t="s">
        <v>82</v>
      </c>
      <c r="B136" s="25"/>
      <c r="C136" s="25">
        <v>1.54</v>
      </c>
      <c r="D136" s="41"/>
      <c r="E136" s="26"/>
      <c r="F136" s="27"/>
      <c r="G136" s="25"/>
      <c r="H136" s="26"/>
      <c r="I136" s="26"/>
      <c r="J136" s="26"/>
      <c r="K136" s="26"/>
      <c r="L136" s="26"/>
    </row>
    <row r="137" spans="1:12">
      <c r="A137" s="25" t="s">
        <v>83</v>
      </c>
      <c r="B137" s="25">
        <v>1.5</v>
      </c>
      <c r="C137" s="30">
        <v>1.55</v>
      </c>
      <c r="D137" s="25">
        <f>(C136+C137)/2</f>
        <v>1.5449999999999999</v>
      </c>
      <c r="E137" s="26">
        <f>B137*(D137+0.15)*D128</f>
        <v>2.7967499999999998</v>
      </c>
      <c r="F137" s="27">
        <v>0</v>
      </c>
      <c r="G137" s="29">
        <f>F137*D$4*1.1*C$18</f>
        <v>0</v>
      </c>
      <c r="H137" s="26">
        <f>B137*D128*0.15</f>
        <v>0.2475</v>
      </c>
      <c r="I137" s="26">
        <f>(B137*D128*(D129+0.3))-(0.785*D129^2*B3)</f>
        <v>0.62700000000000011</v>
      </c>
      <c r="J137" s="7">
        <f>(0.5*E137)-H137-I137</f>
        <v>0.52387499999999976</v>
      </c>
      <c r="K137" s="26">
        <f>E137-G137-H137-I137-J137</f>
        <v>1.3983749999999997</v>
      </c>
      <c r="L137" s="26">
        <f>I137+H137+J137</f>
        <v>1.3983749999999997</v>
      </c>
    </row>
    <row r="138" spans="1:12">
      <c r="A138" s="25"/>
      <c r="B138" s="25">
        <f>B137</f>
        <v>1.5</v>
      </c>
      <c r="C138" s="94">
        <f>E137/D128/B138-0.15</f>
        <v>1.5449999999999997</v>
      </c>
      <c r="D138" s="95"/>
      <c r="E138" s="26"/>
      <c r="F138" s="31">
        <v>0</v>
      </c>
      <c r="G138" s="29">
        <f>F138*D$4*1.1*C$18</f>
        <v>0</v>
      </c>
      <c r="H138" s="26"/>
      <c r="I138" s="26"/>
      <c r="J138" s="26"/>
      <c r="K138" s="26"/>
      <c r="L138" s="26"/>
    </row>
    <row r="139" spans="1:12" ht="15">
      <c r="A139" s="96" t="s">
        <v>54</v>
      </c>
      <c r="B139" s="97"/>
      <c r="C139" s="97"/>
      <c r="D139" s="98"/>
      <c r="E139" s="36">
        <f>E137</f>
        <v>2.7967499999999998</v>
      </c>
      <c r="F139" s="84">
        <f>G137</f>
        <v>0</v>
      </c>
      <c r="G139" s="85"/>
      <c r="H139" s="37">
        <f t="shared" ref="H139:L139" si="37">H137</f>
        <v>0.2475</v>
      </c>
      <c r="I139" s="37">
        <f t="shared" si="37"/>
        <v>0.62700000000000011</v>
      </c>
      <c r="J139" s="37">
        <f t="shared" si="37"/>
        <v>0.52387499999999976</v>
      </c>
      <c r="K139" s="37">
        <f t="shared" si="37"/>
        <v>1.3983749999999997</v>
      </c>
      <c r="L139" s="37">
        <f t="shared" si="37"/>
        <v>1.3983749999999997</v>
      </c>
    </row>
    <row r="140" spans="1:12" ht="15">
      <c r="A140" s="50" t="s">
        <v>33</v>
      </c>
      <c r="B140" s="50">
        <v>0</v>
      </c>
      <c r="C140" s="50">
        <v>0</v>
      </c>
      <c r="D140" s="51"/>
      <c r="E140" s="36">
        <f>-B140*C140*D128</f>
        <v>0</v>
      </c>
      <c r="F140" s="84"/>
      <c r="G140" s="85"/>
      <c r="H140" s="37"/>
      <c r="I140" s="37"/>
      <c r="J140" s="37"/>
      <c r="K140" s="37">
        <f>E140</f>
        <v>0</v>
      </c>
      <c r="L140" s="37">
        <f>K140</f>
        <v>0</v>
      </c>
    </row>
    <row r="141" spans="1:12" ht="15">
      <c r="A141" s="50" t="s">
        <v>53</v>
      </c>
      <c r="B141" s="50">
        <v>0</v>
      </c>
      <c r="C141" s="50">
        <v>0</v>
      </c>
      <c r="D141" s="51"/>
      <c r="E141" s="36">
        <f>-B141*C141*D128</f>
        <v>0</v>
      </c>
      <c r="F141" s="84"/>
      <c r="G141" s="85"/>
      <c r="H141" s="37"/>
      <c r="I141" s="37"/>
      <c r="J141" s="37"/>
      <c r="K141" s="37">
        <v>0</v>
      </c>
      <c r="L141" s="37">
        <f>E141</f>
        <v>0</v>
      </c>
    </row>
    <row r="142" spans="1:12" ht="15">
      <c r="A142" s="50"/>
      <c r="B142" s="50"/>
      <c r="C142" s="50"/>
      <c r="D142" s="51" t="s">
        <v>52</v>
      </c>
      <c r="E142" s="40">
        <f>SUM(E139:E141)</f>
        <v>2.7967499999999998</v>
      </c>
      <c r="F142" s="86">
        <f>F139</f>
        <v>0</v>
      </c>
      <c r="G142" s="87"/>
      <c r="H142" s="40">
        <f t="shared" ref="H142:K142" si="38">SUM(H139:H141)</f>
        <v>0.2475</v>
      </c>
      <c r="I142" s="40">
        <f t="shared" si="38"/>
        <v>0.62700000000000011</v>
      </c>
      <c r="J142" s="40">
        <f t="shared" si="38"/>
        <v>0.52387499999999976</v>
      </c>
      <c r="K142" s="40">
        <f t="shared" si="38"/>
        <v>1.3983749999999997</v>
      </c>
      <c r="L142" s="40">
        <f>SUM(L139:L141)</f>
        <v>1.3983749999999997</v>
      </c>
    </row>
    <row r="143" spans="1:12" ht="15">
      <c r="A143" s="50"/>
      <c r="B143" s="50"/>
      <c r="C143" s="50"/>
      <c r="D143" s="51"/>
      <c r="E143" s="54"/>
      <c r="F143" s="54"/>
      <c r="G143" s="54"/>
      <c r="H143" s="54"/>
      <c r="I143" s="54"/>
      <c r="J143" s="54"/>
      <c r="K143" s="54"/>
      <c r="L143" s="54"/>
    </row>
    <row r="144" spans="1:12" ht="15">
      <c r="A144" s="100" t="s">
        <v>36</v>
      </c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</row>
    <row r="145" spans="1:12">
      <c r="A145" s="46"/>
      <c r="B145" s="101" t="s">
        <v>9</v>
      </c>
      <c r="C145" s="102"/>
      <c r="D145" s="103"/>
      <c r="E145" s="36">
        <f>E20+E39+E61+E80+E99+E120+E139</f>
        <v>1028.1304</v>
      </c>
      <c r="F145" s="84">
        <f>F20+F39+F61+F80+F99+F120+F139</f>
        <v>15.157196662216291</v>
      </c>
      <c r="G145" s="85"/>
      <c r="H145" s="37">
        <f>H20+H39+H61+H80+H99+H120+H139</f>
        <v>88.935000000000016</v>
      </c>
      <c r="I145" s="37">
        <f>I20+I39+I61+I80+I99+I120+I139</f>
        <v>237.82853215000003</v>
      </c>
      <c r="J145" s="37">
        <f>J20+J39+J61+J80+J99+J120+J139</f>
        <v>187.30166785000003</v>
      </c>
      <c r="K145" s="37">
        <f>K20+K39+K61+K80+K99+K120+K139</f>
        <v>498.90800333778367</v>
      </c>
      <c r="L145" s="37">
        <f>L20+L39+L61+L80+L99+L120+L139</f>
        <v>514.0652</v>
      </c>
    </row>
    <row r="146" spans="1:12">
      <c r="A146" s="46"/>
      <c r="B146" s="101" t="s">
        <v>48</v>
      </c>
      <c r="C146" s="102"/>
      <c r="D146" s="103"/>
      <c r="E146" s="40">
        <f>E23+E42+E64+E83+E102+E123+E142</f>
        <v>1028.1304</v>
      </c>
      <c r="F146" s="86">
        <f>F23+F42+F64+F83+F102+F123+F142</f>
        <v>15.157196662216291</v>
      </c>
      <c r="G146" s="87"/>
      <c r="H146" s="40">
        <f>H23+H42+H64+H83+H102+H123+H142</f>
        <v>88.935000000000016</v>
      </c>
      <c r="I146" s="40">
        <f>I23+I42+I64+I83+I102+I123+I142</f>
        <v>237.82853215000003</v>
      </c>
      <c r="J146" s="40">
        <f>J23+J42+J64+J83+J102+J123+J142</f>
        <v>187.30166785000003</v>
      </c>
      <c r="K146" s="40">
        <f>K23+K42+K64+K83+K102+K123+K142</f>
        <v>498.90800333778367</v>
      </c>
      <c r="L146" s="40">
        <f>L23+L42+L64+L83+L102+L123+L142</f>
        <v>514.0652</v>
      </c>
    </row>
    <row r="147" spans="1:12" ht="57">
      <c r="A147" s="46"/>
      <c r="B147" s="91"/>
      <c r="C147" s="92"/>
      <c r="D147" s="92"/>
      <c r="E147" s="93"/>
      <c r="F147" s="104" t="s">
        <v>56</v>
      </c>
      <c r="G147" s="105"/>
      <c r="H147" s="89" t="s">
        <v>64</v>
      </c>
      <c r="I147" s="93"/>
      <c r="J147" s="3" t="s">
        <v>84</v>
      </c>
      <c r="K147" s="68" t="s">
        <v>60</v>
      </c>
      <c r="L147" s="69" t="s">
        <v>27</v>
      </c>
    </row>
  </sheetData>
  <mergeCells count="71">
    <mergeCell ref="F142:G142"/>
    <mergeCell ref="F146:G146"/>
    <mergeCell ref="F145:G145"/>
    <mergeCell ref="A134:D134"/>
    <mergeCell ref="A144:L144"/>
    <mergeCell ref="F139:G139"/>
    <mergeCell ref="F140:G140"/>
    <mergeCell ref="F141:G141"/>
    <mergeCell ref="C18:D18"/>
    <mergeCell ref="A20:D20"/>
    <mergeCell ref="H133:I133"/>
    <mergeCell ref="A125:L125"/>
    <mergeCell ref="F23:G23"/>
    <mergeCell ref="F22:G22"/>
    <mergeCell ref="F21:G21"/>
    <mergeCell ref="F20:G20"/>
    <mergeCell ref="F64:G64"/>
    <mergeCell ref="A85:L85"/>
    <mergeCell ref="H93:I93"/>
    <mergeCell ref="C98:D98"/>
    <mergeCell ref="A99:D99"/>
    <mergeCell ref="F99:G99"/>
    <mergeCell ref="F100:G100"/>
    <mergeCell ref="A80:D80"/>
    <mergeCell ref="A1:L1"/>
    <mergeCell ref="H147:I147"/>
    <mergeCell ref="B145:D145"/>
    <mergeCell ref="B146:D146"/>
    <mergeCell ref="B147:E147"/>
    <mergeCell ref="F147:G147"/>
    <mergeCell ref="A44:L44"/>
    <mergeCell ref="H52:I52"/>
    <mergeCell ref="A53:D53"/>
    <mergeCell ref="C59:D59"/>
    <mergeCell ref="A61:D61"/>
    <mergeCell ref="F61:G61"/>
    <mergeCell ref="F62:G62"/>
    <mergeCell ref="F63:G63"/>
    <mergeCell ref="C138:D138"/>
    <mergeCell ref="A139:D139"/>
    <mergeCell ref="H9:I9"/>
    <mergeCell ref="A10:D10"/>
    <mergeCell ref="F102:G102"/>
    <mergeCell ref="A25:L25"/>
    <mergeCell ref="H33:I33"/>
    <mergeCell ref="A34:D34"/>
    <mergeCell ref="C38:D38"/>
    <mergeCell ref="A39:D39"/>
    <mergeCell ref="F39:G39"/>
    <mergeCell ref="F40:G40"/>
    <mergeCell ref="F41:G41"/>
    <mergeCell ref="F42:G42"/>
    <mergeCell ref="A66:L66"/>
    <mergeCell ref="H74:I74"/>
    <mergeCell ref="A75:D75"/>
    <mergeCell ref="C79:D79"/>
    <mergeCell ref="A94:D94"/>
    <mergeCell ref="F80:G80"/>
    <mergeCell ref="F81:G81"/>
    <mergeCell ref="F82:G82"/>
    <mergeCell ref="F83:G83"/>
    <mergeCell ref="F101:G101"/>
    <mergeCell ref="F121:G121"/>
    <mergeCell ref="F122:G122"/>
    <mergeCell ref="F123:G123"/>
    <mergeCell ref="A104:L104"/>
    <mergeCell ref="H112:I112"/>
    <mergeCell ref="A113:D113"/>
    <mergeCell ref="C118:D118"/>
    <mergeCell ref="A120:D120"/>
    <mergeCell ref="F120:G120"/>
  </mergeCells>
  <pageMargins left="0.7" right="0.7" top="0.75" bottom="0.75" header="0.3" footer="0.3"/>
  <pageSetup paperSize="9" scale="1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opLeftCell="A68" zoomScale="75" zoomScaleNormal="75" zoomScaleSheetLayoutView="50" zoomScalePageLayoutView="26" workbookViewId="0">
      <selection activeCell="N91" sqref="N91"/>
    </sheetView>
  </sheetViews>
  <sheetFormatPr defaultRowHeight="14.25"/>
  <cols>
    <col min="3" max="3" width="10.25" customWidth="1"/>
    <col min="4" max="4" width="12" customWidth="1"/>
    <col min="5" max="7" width="10.125" customWidth="1"/>
    <col min="8" max="8" width="9.125" customWidth="1"/>
    <col min="9" max="10" width="11.875" customWidth="1"/>
    <col min="11" max="11" width="13.75" bestFit="1" customWidth="1"/>
    <col min="12" max="12" width="10.625" customWidth="1"/>
  </cols>
  <sheetData>
    <row r="1" spans="1:13" ht="15.75">
      <c r="A1" s="124" t="s">
        <v>49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3" ht="15">
      <c r="A2" s="42" t="s">
        <v>41</v>
      </c>
      <c r="B2" s="70"/>
      <c r="C2" s="70"/>
      <c r="D2" s="70"/>
      <c r="E2" s="44" t="s">
        <v>40</v>
      </c>
      <c r="F2" s="44"/>
      <c r="G2" s="44"/>
      <c r="H2" s="44"/>
      <c r="I2" s="58"/>
      <c r="J2" s="58"/>
      <c r="K2" s="70"/>
      <c r="L2" s="70"/>
    </row>
    <row r="3" spans="1:13" ht="15">
      <c r="A3" s="46" t="s">
        <v>30</v>
      </c>
      <c r="B3" s="70"/>
      <c r="C3" s="70"/>
      <c r="D3" s="48">
        <v>0.9</v>
      </c>
      <c r="E3" s="48">
        <v>2.2000000000000002</v>
      </c>
      <c r="F3" s="48"/>
      <c r="G3" s="48"/>
      <c r="H3" s="49"/>
      <c r="I3" s="49"/>
      <c r="J3" s="49"/>
      <c r="K3" s="70"/>
      <c r="L3" s="70"/>
    </row>
    <row r="4" spans="1:13">
      <c r="A4" s="46" t="s">
        <v>1</v>
      </c>
      <c r="B4" s="46"/>
      <c r="C4" s="46"/>
      <c r="D4" s="48">
        <v>1.1000000000000001</v>
      </c>
      <c r="E4" s="48">
        <v>2.4</v>
      </c>
      <c r="F4" s="48"/>
      <c r="G4" s="48"/>
      <c r="H4" s="48"/>
      <c r="I4" s="49"/>
      <c r="J4" s="49"/>
      <c r="K4" s="48"/>
      <c r="L4" s="46"/>
    </row>
    <row r="5" spans="1:13">
      <c r="A5" s="46" t="s">
        <v>2</v>
      </c>
      <c r="B5" s="46"/>
      <c r="C5" s="46"/>
      <c r="D5" s="48">
        <v>0.2</v>
      </c>
      <c r="E5" s="48"/>
      <c r="F5" s="48"/>
      <c r="G5" s="48"/>
      <c r="H5" s="48"/>
      <c r="I5" s="49"/>
      <c r="J5" s="49"/>
      <c r="K5" s="48"/>
      <c r="L5" s="46"/>
    </row>
    <row r="6" spans="1:13">
      <c r="A6" s="46" t="s">
        <v>11</v>
      </c>
      <c r="B6" s="46"/>
      <c r="C6" s="46"/>
      <c r="D6" s="48"/>
      <c r="E6" s="48">
        <v>1.2</v>
      </c>
      <c r="F6" s="48"/>
      <c r="G6" s="48"/>
      <c r="H6" s="48"/>
      <c r="I6" s="49"/>
      <c r="J6" s="49"/>
      <c r="K6" s="48"/>
      <c r="L6" s="46"/>
    </row>
    <row r="7" spans="1:13">
      <c r="A7" s="46" t="s">
        <v>26</v>
      </c>
      <c r="B7" s="46"/>
      <c r="C7" s="46"/>
      <c r="D7" s="48">
        <v>0.15</v>
      </c>
      <c r="E7" s="48">
        <v>0.1</v>
      </c>
      <c r="F7" s="48"/>
      <c r="G7" s="48"/>
      <c r="H7" s="48"/>
      <c r="I7" s="48"/>
      <c r="J7" s="48"/>
      <c r="K7" s="48"/>
      <c r="L7" s="46"/>
    </row>
    <row r="8" spans="1:13">
      <c r="A8" s="46" t="s">
        <v>12</v>
      </c>
      <c r="B8" s="59"/>
      <c r="C8" s="59"/>
      <c r="D8" s="48"/>
      <c r="E8" s="60">
        <v>8</v>
      </c>
      <c r="F8" s="60"/>
      <c r="G8" s="60"/>
      <c r="H8" s="60"/>
      <c r="I8" s="49"/>
      <c r="J8" s="49"/>
      <c r="K8" s="60"/>
      <c r="L8" s="59"/>
    </row>
    <row r="9" spans="1:13" ht="60" customHeight="1">
      <c r="A9" s="69" t="s">
        <v>3</v>
      </c>
      <c r="B9" s="69" t="s">
        <v>4</v>
      </c>
      <c r="C9" s="69" t="s">
        <v>31</v>
      </c>
      <c r="D9" s="69" t="s">
        <v>32</v>
      </c>
      <c r="E9" s="3" t="s">
        <v>29</v>
      </c>
      <c r="F9" s="69" t="s">
        <v>5</v>
      </c>
      <c r="G9" s="78" t="s">
        <v>28</v>
      </c>
      <c r="H9" s="125" t="s">
        <v>64</v>
      </c>
      <c r="I9" s="126"/>
      <c r="J9" s="3" t="s">
        <v>84</v>
      </c>
      <c r="K9" s="3" t="s">
        <v>60</v>
      </c>
      <c r="L9" s="69" t="s">
        <v>27</v>
      </c>
    </row>
    <row r="10" spans="1:13">
      <c r="A10" s="99"/>
      <c r="B10" s="99"/>
      <c r="C10" s="99"/>
      <c r="D10" s="99"/>
      <c r="E10" s="3"/>
      <c r="F10" s="69"/>
      <c r="G10" s="8" t="s">
        <v>66</v>
      </c>
      <c r="H10" s="3" t="s">
        <v>62</v>
      </c>
      <c r="I10" s="3" t="s">
        <v>65</v>
      </c>
      <c r="J10" s="3" t="s">
        <v>85</v>
      </c>
      <c r="K10" s="3" t="s">
        <v>59</v>
      </c>
      <c r="L10" s="69"/>
    </row>
    <row r="11" spans="1:13">
      <c r="A11" s="11" t="s">
        <v>13</v>
      </c>
      <c r="B11" s="11" t="s">
        <v>14</v>
      </c>
      <c r="C11" s="11" t="s">
        <v>15</v>
      </c>
      <c r="D11" s="11" t="s">
        <v>16</v>
      </c>
      <c r="E11" s="12" t="s">
        <v>17</v>
      </c>
      <c r="F11" s="5" t="s">
        <v>18</v>
      </c>
      <c r="G11" s="5" t="s">
        <v>19</v>
      </c>
      <c r="H11" s="5" t="s">
        <v>22</v>
      </c>
      <c r="I11" s="5" t="s">
        <v>23</v>
      </c>
      <c r="J11" s="5" t="s">
        <v>87</v>
      </c>
      <c r="K11" s="5" t="s">
        <v>24</v>
      </c>
      <c r="L11" s="4" t="s">
        <v>25</v>
      </c>
    </row>
    <row r="12" spans="1:13">
      <c r="A12" s="6" t="s">
        <v>69</v>
      </c>
      <c r="B12" s="19"/>
      <c r="C12" s="7">
        <v>1.94</v>
      </c>
      <c r="D12" s="21"/>
      <c r="E12" s="7"/>
      <c r="F12" s="13"/>
      <c r="G12" s="6"/>
      <c r="H12" s="7"/>
      <c r="I12" s="7"/>
      <c r="J12" s="7"/>
      <c r="K12" s="7"/>
      <c r="L12" s="6"/>
    </row>
    <row r="13" spans="1:13">
      <c r="A13" s="6" t="s">
        <v>68</v>
      </c>
      <c r="B13" s="7">
        <v>40.200000000000003</v>
      </c>
      <c r="C13" s="20">
        <v>2.2200000000000002</v>
      </c>
      <c r="D13" s="21">
        <f>(C12+C13)/2</f>
        <v>2.08</v>
      </c>
      <c r="E13" s="7">
        <f>B13*(D13+0.15)*D$4</f>
        <v>98.610600000000005</v>
      </c>
      <c r="F13" s="14">
        <v>0</v>
      </c>
      <c r="G13" s="7">
        <f>F13*D$4*1.1*C$20</f>
        <v>0</v>
      </c>
      <c r="H13" s="7">
        <f>B13*D$4*D$7</f>
        <v>6.6330000000000009</v>
      </c>
      <c r="I13" s="7">
        <f>(B13*D$4*(D$5+0.3))-(0.785*D$5^2*B13)</f>
        <v>20.847720000000002</v>
      </c>
      <c r="J13" s="7">
        <f>(0.5*E13)-H13-I13</f>
        <v>21.824579999999997</v>
      </c>
      <c r="K13" s="7">
        <f>E13-G13-H13-I13-J13</f>
        <v>49.305300000000017</v>
      </c>
      <c r="L13" s="7">
        <f>I13+H13+J13</f>
        <v>49.305300000000003</v>
      </c>
      <c r="M13" s="2"/>
    </row>
    <row r="14" spans="1:13">
      <c r="A14" s="6" t="s">
        <v>67</v>
      </c>
      <c r="B14" s="7">
        <v>40.200000000000003</v>
      </c>
      <c r="C14" s="20">
        <v>2.06</v>
      </c>
      <c r="D14" s="21">
        <f t="shared" ref="D14:D19" si="0">(C13+C14)/2</f>
        <v>2.14</v>
      </c>
      <c r="E14" s="7">
        <f t="shared" ref="E14:E19" si="1">B14*(D14+0.15)*D$4</f>
        <v>101.26380000000002</v>
      </c>
      <c r="F14" s="14">
        <v>0</v>
      </c>
      <c r="G14" s="7">
        <f t="shared" ref="G14:G19" si="2">F14*D$4*1.1*C$20</f>
        <v>0</v>
      </c>
      <c r="H14" s="7">
        <f>B14*D$4*D$7</f>
        <v>6.6330000000000009</v>
      </c>
      <c r="I14" s="7">
        <f t="shared" ref="I14:I19" si="3">(B14*D$4*(D$5+0.3))-(0.785*D$5^2*B14)</f>
        <v>20.847720000000002</v>
      </c>
      <c r="J14" s="7">
        <f t="shared" ref="J14:J19" si="4">(0.5*E14)-H14-I14</f>
        <v>23.151180000000004</v>
      </c>
      <c r="K14" s="7">
        <f t="shared" ref="K14:K19" si="5">E14-G14-H14-I14-J14</f>
        <v>50.631900000000009</v>
      </c>
      <c r="L14" s="7">
        <f t="shared" ref="L14:L19" si="6">I14+H14+J14</f>
        <v>50.631900000000009</v>
      </c>
      <c r="M14" s="2"/>
    </row>
    <row r="15" spans="1:13">
      <c r="A15" s="6" t="s">
        <v>57</v>
      </c>
      <c r="B15" s="7">
        <v>31.3</v>
      </c>
      <c r="C15" s="20">
        <v>2.23</v>
      </c>
      <c r="D15" s="21">
        <f t="shared" si="0"/>
        <v>2.145</v>
      </c>
      <c r="E15" s="7">
        <f t="shared" si="1"/>
        <v>79.016850000000005</v>
      </c>
      <c r="F15" s="14">
        <v>1</v>
      </c>
      <c r="G15" s="7">
        <f t="shared" si="2"/>
        <v>2.6703801117922827</v>
      </c>
      <c r="H15" s="7">
        <f t="shared" ref="H15:H19" si="7">B15*D$4*D$7</f>
        <v>5.1645000000000012</v>
      </c>
      <c r="I15" s="7">
        <f t="shared" si="3"/>
        <v>16.232180000000003</v>
      </c>
      <c r="J15" s="7">
        <f t="shared" si="4"/>
        <v>18.111744999999996</v>
      </c>
      <c r="K15" s="7">
        <f t="shared" si="5"/>
        <v>36.838044888207719</v>
      </c>
      <c r="L15" s="7">
        <f t="shared" si="6"/>
        <v>39.508425000000003</v>
      </c>
      <c r="M15" s="2"/>
    </row>
    <row r="16" spans="1:13">
      <c r="A16" s="6" t="s">
        <v>42</v>
      </c>
      <c r="B16" s="7">
        <v>40.299999999999997</v>
      </c>
      <c r="C16" s="20">
        <v>2.33</v>
      </c>
      <c r="D16" s="21">
        <f t="shared" si="0"/>
        <v>2.2800000000000002</v>
      </c>
      <c r="E16" s="7">
        <f t="shared" si="1"/>
        <v>107.72190000000001</v>
      </c>
      <c r="F16" s="14">
        <v>1</v>
      </c>
      <c r="G16" s="7">
        <f t="shared" si="2"/>
        <v>2.6703801117922827</v>
      </c>
      <c r="H16" s="7">
        <f t="shared" si="7"/>
        <v>6.6494999999999997</v>
      </c>
      <c r="I16" s="7">
        <f t="shared" si="3"/>
        <v>20.89958</v>
      </c>
      <c r="J16" s="7">
        <f t="shared" si="4"/>
        <v>26.311869999999999</v>
      </c>
      <c r="K16" s="7">
        <f t="shared" si="5"/>
        <v>51.190569888207719</v>
      </c>
      <c r="L16" s="7">
        <f t="shared" si="6"/>
        <v>53.860950000000003</v>
      </c>
      <c r="M16" s="2"/>
    </row>
    <row r="17" spans="1:13">
      <c r="A17" s="6" t="s">
        <v>39</v>
      </c>
      <c r="B17" s="7">
        <v>40.299999999999997</v>
      </c>
      <c r="C17" s="20">
        <v>2.4300000000000002</v>
      </c>
      <c r="D17" s="21">
        <f t="shared" si="0"/>
        <v>2.38</v>
      </c>
      <c r="E17" s="7">
        <f t="shared" si="1"/>
        <v>112.1549</v>
      </c>
      <c r="F17" s="14">
        <v>1</v>
      </c>
      <c r="G17" s="7">
        <f t="shared" si="2"/>
        <v>2.6703801117922827</v>
      </c>
      <c r="H17" s="7">
        <f t="shared" si="7"/>
        <v>6.6494999999999997</v>
      </c>
      <c r="I17" s="7">
        <f t="shared" si="3"/>
        <v>20.89958</v>
      </c>
      <c r="J17" s="7">
        <f t="shared" si="4"/>
        <v>28.528369999999995</v>
      </c>
      <c r="K17" s="7">
        <f t="shared" si="5"/>
        <v>53.407069888207715</v>
      </c>
      <c r="L17" s="7">
        <f t="shared" si="6"/>
        <v>56.077449999999999</v>
      </c>
      <c r="M17" s="2"/>
    </row>
    <row r="18" spans="1:13">
      <c r="A18" s="6" t="s">
        <v>0</v>
      </c>
      <c r="B18" s="7">
        <v>50</v>
      </c>
      <c r="C18" s="20">
        <v>2.2799999999999998</v>
      </c>
      <c r="D18" s="21">
        <f t="shared" si="0"/>
        <v>2.355</v>
      </c>
      <c r="E18" s="7">
        <f t="shared" si="1"/>
        <v>137.77500000000001</v>
      </c>
      <c r="F18" s="14">
        <v>0</v>
      </c>
      <c r="G18" s="7">
        <f t="shared" si="2"/>
        <v>0</v>
      </c>
      <c r="H18" s="7">
        <f t="shared" si="7"/>
        <v>8.25</v>
      </c>
      <c r="I18" s="7">
        <f t="shared" si="3"/>
        <v>25.930000000000003</v>
      </c>
      <c r="J18" s="7">
        <f t="shared" si="4"/>
        <v>34.707499999999996</v>
      </c>
      <c r="K18" s="7">
        <f t="shared" si="5"/>
        <v>68.887500000000003</v>
      </c>
      <c r="L18" s="7">
        <f t="shared" si="6"/>
        <v>68.887500000000003</v>
      </c>
      <c r="M18" s="2"/>
    </row>
    <row r="19" spans="1:13">
      <c r="A19" s="6" t="s">
        <v>58</v>
      </c>
      <c r="B19" s="7">
        <v>35</v>
      </c>
      <c r="C19" s="7">
        <v>1.7</v>
      </c>
      <c r="D19" s="21">
        <f t="shared" si="0"/>
        <v>1.9899999999999998</v>
      </c>
      <c r="E19" s="7">
        <f t="shared" si="1"/>
        <v>82.39</v>
      </c>
      <c r="F19" s="14">
        <v>0</v>
      </c>
      <c r="G19" s="7">
        <f t="shared" si="2"/>
        <v>0</v>
      </c>
      <c r="H19" s="7">
        <f t="shared" si="7"/>
        <v>5.7749999999999995</v>
      </c>
      <c r="I19" s="7">
        <f t="shared" si="3"/>
        <v>18.151</v>
      </c>
      <c r="J19" s="7">
        <f t="shared" si="4"/>
        <v>17.269000000000002</v>
      </c>
      <c r="K19" s="7">
        <f t="shared" si="5"/>
        <v>41.194999999999993</v>
      </c>
      <c r="L19" s="7">
        <f t="shared" si="6"/>
        <v>41.195</v>
      </c>
      <c r="M19" s="2"/>
    </row>
    <row r="20" spans="1:13">
      <c r="A20" s="6"/>
      <c r="B20" s="7">
        <f>SUM(B13:B19)</f>
        <v>277.3</v>
      </c>
      <c r="C20" s="127">
        <f>E20/D4/(B20)-0.15</f>
        <v>2.2069257122250265</v>
      </c>
      <c r="D20" s="128"/>
      <c r="E20" s="7">
        <f t="shared" ref="E20:L20" si="8">SUM(E13:E19)</f>
        <v>718.93304999999998</v>
      </c>
      <c r="F20" s="13">
        <f>SUM(F13:F19)</f>
        <v>3</v>
      </c>
      <c r="G20" s="7">
        <f>SUM(G13:G19)</f>
        <v>8.0111403353768473</v>
      </c>
      <c r="H20" s="7">
        <f t="shared" si="8"/>
        <v>45.7545</v>
      </c>
      <c r="I20" s="7">
        <f t="shared" si="8"/>
        <v>143.80778000000001</v>
      </c>
      <c r="J20" s="7">
        <f>SUM(J13:J19)</f>
        <v>169.904245</v>
      </c>
      <c r="K20" s="7">
        <f t="shared" si="8"/>
        <v>351.45538466462318</v>
      </c>
      <c r="L20" s="7">
        <f t="shared" si="8"/>
        <v>359.46652499999999</v>
      </c>
      <c r="M20" s="2"/>
    </row>
    <row r="21" spans="1:13">
      <c r="A21" s="121" t="s">
        <v>6</v>
      </c>
      <c r="B21" s="122"/>
      <c r="C21" s="122"/>
      <c r="D21" s="123"/>
      <c r="E21" s="7">
        <f>(E8*E4*1.3*C26)</f>
        <v>57.376799999999996</v>
      </c>
      <c r="F21" s="116"/>
      <c r="G21" s="117"/>
      <c r="H21" s="7"/>
      <c r="I21" s="7"/>
      <c r="J21" s="7"/>
      <c r="K21" s="7"/>
      <c r="L21" s="6"/>
      <c r="M21" s="2"/>
    </row>
    <row r="22" spans="1:13">
      <c r="A22" s="121" t="s">
        <v>61</v>
      </c>
      <c r="B22" s="122"/>
      <c r="C22" s="122"/>
      <c r="D22" s="123"/>
      <c r="E22" s="7"/>
      <c r="F22" s="116"/>
      <c r="G22" s="117"/>
      <c r="H22" s="7">
        <f>E8*E4*E4*E7</f>
        <v>4.6079999999999997</v>
      </c>
      <c r="I22" s="7"/>
      <c r="J22" s="7"/>
      <c r="K22" s="7"/>
      <c r="L22" s="6"/>
      <c r="M22" s="2"/>
    </row>
    <row r="23" spans="1:13">
      <c r="A23" s="121" t="s">
        <v>7</v>
      </c>
      <c r="B23" s="122"/>
      <c r="C23" s="122"/>
      <c r="D23" s="123"/>
      <c r="E23" s="7"/>
      <c r="F23" s="116"/>
      <c r="G23" s="117"/>
      <c r="H23" s="7"/>
      <c r="I23" s="7">
        <f>(E8*E4*1.3*0.65)-(E8*0.785*(1.2^2)*0.65)</f>
        <v>10.34592</v>
      </c>
      <c r="J23" s="7"/>
      <c r="K23" s="7"/>
      <c r="L23" s="6"/>
      <c r="M23" s="2"/>
    </row>
    <row r="24" spans="1:13">
      <c r="A24" s="113" t="s">
        <v>10</v>
      </c>
      <c r="B24" s="114"/>
      <c r="C24" s="114"/>
      <c r="D24" s="115"/>
      <c r="E24" s="7"/>
      <c r="F24" s="116"/>
      <c r="G24" s="117"/>
      <c r="H24" s="7"/>
      <c r="I24" s="7"/>
      <c r="J24" s="7">
        <f>(0.5*E21)-H22-I23</f>
        <v>13.734479999999998</v>
      </c>
      <c r="K24" s="7">
        <f>E21-H22-I23-J24</f>
        <v>28.688400000000001</v>
      </c>
      <c r="L24" s="6"/>
      <c r="M24" s="2"/>
    </row>
    <row r="25" spans="1:13">
      <c r="A25" s="118" t="s">
        <v>8</v>
      </c>
      <c r="B25" s="119"/>
      <c r="C25" s="119"/>
      <c r="D25" s="120"/>
      <c r="E25" s="7"/>
      <c r="F25" s="116"/>
      <c r="G25" s="117"/>
      <c r="H25" s="7"/>
      <c r="I25" s="7"/>
      <c r="J25" s="7"/>
      <c r="K25" s="7"/>
      <c r="L25" s="7">
        <f>H22+I23+J24</f>
        <v>28.688399999999998</v>
      </c>
      <c r="M25" s="2"/>
    </row>
    <row r="26" spans="1:13">
      <c r="A26" s="15" t="s">
        <v>43</v>
      </c>
      <c r="B26" s="66"/>
      <c r="C26" s="21">
        <f>(C13+C17+C18+C12+C19+C14+C15+C16)/E8+0.15</f>
        <v>2.2987499999999996</v>
      </c>
      <c r="D26" s="67"/>
      <c r="E26" s="7">
        <f>SUM(E21:E24)</f>
        <v>57.376799999999996</v>
      </c>
      <c r="F26" s="116"/>
      <c r="G26" s="117"/>
      <c r="H26" s="7"/>
      <c r="I26" s="7"/>
      <c r="J26" s="7"/>
      <c r="K26" s="7"/>
      <c r="L26" s="7"/>
      <c r="M26" s="2"/>
    </row>
    <row r="27" spans="1:13" ht="15">
      <c r="A27" s="106" t="s">
        <v>9</v>
      </c>
      <c r="B27" s="107"/>
      <c r="C27" s="107"/>
      <c r="D27" s="108"/>
      <c r="E27" s="10">
        <f>SUM(E20:E25)</f>
        <v>776.30984999999998</v>
      </c>
      <c r="F27" s="109">
        <f>G20</f>
        <v>8.0111403353768473</v>
      </c>
      <c r="G27" s="110"/>
      <c r="H27" s="9">
        <f>SUM(H20:H25)</f>
        <v>50.362499999999997</v>
      </c>
      <c r="I27" s="9">
        <f>SUM(I20:I25)</f>
        <v>154.15370000000001</v>
      </c>
      <c r="J27" s="9">
        <f t="shared" ref="J27:K27" si="9">SUM(J20:J25)</f>
        <v>183.63872499999999</v>
      </c>
      <c r="K27" s="9">
        <f t="shared" si="9"/>
        <v>380.14378466462318</v>
      </c>
      <c r="L27" s="9">
        <f>SUM(L20:L25)</f>
        <v>388.15492499999999</v>
      </c>
      <c r="M27" s="2"/>
    </row>
    <row r="28" spans="1:13" ht="15">
      <c r="A28" s="22" t="s">
        <v>34</v>
      </c>
      <c r="B28" s="130">
        <v>0</v>
      </c>
      <c r="C28" s="22">
        <v>0.2</v>
      </c>
      <c r="D28" s="23"/>
      <c r="E28" s="16">
        <f>-(B28*C28*2)</f>
        <v>0</v>
      </c>
      <c r="F28" s="109"/>
      <c r="G28" s="110"/>
      <c r="H28" s="17"/>
      <c r="I28" s="17"/>
      <c r="J28" s="17"/>
      <c r="K28" s="17">
        <f>E28</f>
        <v>0</v>
      </c>
      <c r="L28" s="17">
        <v>0</v>
      </c>
      <c r="M28" s="2"/>
    </row>
    <row r="29" spans="1:13" ht="15">
      <c r="A29" s="22" t="s">
        <v>63</v>
      </c>
      <c r="B29" s="130">
        <v>0</v>
      </c>
      <c r="C29" s="22">
        <v>0</v>
      </c>
      <c r="D29" s="23"/>
      <c r="E29" s="16">
        <f>-B29*C29*D$4</f>
        <v>0</v>
      </c>
      <c r="F29" s="109"/>
      <c r="G29" s="110"/>
      <c r="H29" s="17"/>
      <c r="I29" s="17"/>
      <c r="J29" s="17"/>
      <c r="K29" s="17">
        <f>E29*0.6</f>
        <v>0</v>
      </c>
      <c r="L29" s="17">
        <v>0</v>
      </c>
      <c r="M29" s="2"/>
    </row>
    <row r="30" spans="1:13" ht="15">
      <c r="A30" s="61"/>
      <c r="B30" s="62"/>
      <c r="C30" s="62"/>
      <c r="D30" s="63" t="s">
        <v>35</v>
      </c>
      <c r="E30" s="18">
        <f>E27+E28+E29</f>
        <v>776.30984999999998</v>
      </c>
      <c r="F30" s="111">
        <f>F27</f>
        <v>8.0111403353768473</v>
      </c>
      <c r="G30" s="112"/>
      <c r="H30" s="18">
        <f t="shared" ref="H30:L30" si="10">H27+H28+H29</f>
        <v>50.362499999999997</v>
      </c>
      <c r="I30" s="18">
        <f t="shared" si="10"/>
        <v>154.15370000000001</v>
      </c>
      <c r="J30" s="18">
        <f t="shared" si="10"/>
        <v>183.63872499999999</v>
      </c>
      <c r="K30" s="18">
        <f t="shared" si="10"/>
        <v>380.14378466462318</v>
      </c>
      <c r="L30" s="18">
        <f t="shared" si="10"/>
        <v>388.15492499999999</v>
      </c>
      <c r="M30" s="2"/>
    </row>
    <row r="31" spans="1:13" ht="15">
      <c r="A31" s="61"/>
      <c r="B31" s="62"/>
      <c r="C31" s="62"/>
      <c r="D31" s="63"/>
      <c r="E31" s="64"/>
      <c r="F31" s="64"/>
      <c r="G31" s="64"/>
      <c r="H31" s="64"/>
      <c r="I31" s="64"/>
      <c r="J31" s="64"/>
      <c r="K31" s="64"/>
      <c r="L31" s="64"/>
      <c r="M31" s="2"/>
    </row>
    <row r="32" spans="1:13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</row>
    <row r="33" spans="1:12" ht="15.75">
      <c r="A33" s="124" t="s">
        <v>49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</row>
    <row r="34" spans="1:12" ht="15">
      <c r="A34" s="42" t="s">
        <v>41</v>
      </c>
      <c r="B34" s="77"/>
      <c r="C34" s="77"/>
      <c r="D34" s="77"/>
      <c r="E34" s="44" t="s">
        <v>40</v>
      </c>
      <c r="F34" s="44"/>
      <c r="G34" s="44"/>
      <c r="H34" s="44"/>
      <c r="I34" s="58"/>
      <c r="J34" s="58"/>
      <c r="K34" s="77"/>
      <c r="L34" s="77"/>
    </row>
    <row r="35" spans="1:12" ht="15">
      <c r="A35" s="46" t="s">
        <v>30</v>
      </c>
      <c r="B35" s="77"/>
      <c r="C35" s="77"/>
      <c r="D35" s="48">
        <v>0.9</v>
      </c>
      <c r="E35" s="48">
        <v>2.2000000000000002</v>
      </c>
      <c r="F35" s="48"/>
      <c r="G35" s="48"/>
      <c r="H35" s="49"/>
      <c r="I35" s="49"/>
      <c r="J35" s="49"/>
      <c r="K35" s="77"/>
      <c r="L35" s="77"/>
    </row>
    <row r="36" spans="1:12">
      <c r="A36" s="46" t="s">
        <v>1</v>
      </c>
      <c r="B36" s="46"/>
      <c r="C36" s="46"/>
      <c r="D36" s="48">
        <v>1.1000000000000001</v>
      </c>
      <c r="E36" s="48">
        <v>2.4</v>
      </c>
      <c r="F36" s="48"/>
      <c r="G36" s="48"/>
      <c r="H36" s="48"/>
      <c r="I36" s="49"/>
      <c r="J36" s="49"/>
      <c r="K36" s="48"/>
      <c r="L36" s="46"/>
    </row>
    <row r="37" spans="1:12">
      <c r="A37" s="46" t="s">
        <v>2</v>
      </c>
      <c r="B37" s="46"/>
      <c r="C37" s="46"/>
      <c r="D37" s="48">
        <v>0.2</v>
      </c>
      <c r="E37" s="48"/>
      <c r="F37" s="48"/>
      <c r="G37" s="48"/>
      <c r="H37" s="48"/>
      <c r="I37" s="49"/>
      <c r="J37" s="49"/>
      <c r="K37" s="48"/>
      <c r="L37" s="46"/>
    </row>
    <row r="38" spans="1:12">
      <c r="A38" s="46" t="s">
        <v>11</v>
      </c>
      <c r="B38" s="46"/>
      <c r="C38" s="46"/>
      <c r="D38" s="48"/>
      <c r="E38" s="48">
        <v>1.2</v>
      </c>
      <c r="F38" s="48"/>
      <c r="G38" s="48"/>
      <c r="H38" s="48"/>
      <c r="I38" s="49"/>
      <c r="J38" s="49"/>
      <c r="K38" s="48"/>
      <c r="L38" s="46"/>
    </row>
    <row r="39" spans="1:12">
      <c r="A39" s="46" t="s">
        <v>26</v>
      </c>
      <c r="B39" s="46"/>
      <c r="C39" s="46"/>
      <c r="D39" s="48">
        <v>0.15</v>
      </c>
      <c r="E39" s="48">
        <v>0.1</v>
      </c>
      <c r="F39" s="48"/>
      <c r="G39" s="48"/>
      <c r="H39" s="48"/>
      <c r="I39" s="48"/>
      <c r="J39" s="48"/>
      <c r="K39" s="48"/>
      <c r="L39" s="46"/>
    </row>
    <row r="40" spans="1:12">
      <c r="A40" s="46" t="s">
        <v>12</v>
      </c>
      <c r="B40" s="59"/>
      <c r="C40" s="59"/>
      <c r="D40" s="48"/>
      <c r="E40" s="60">
        <v>4</v>
      </c>
      <c r="F40" s="60"/>
      <c r="G40" s="60"/>
      <c r="H40" s="60"/>
      <c r="I40" s="49"/>
      <c r="J40" s="49"/>
      <c r="K40" s="60"/>
      <c r="L40" s="59"/>
    </row>
    <row r="41" spans="1:12" ht="59.25">
      <c r="A41" s="75" t="s">
        <v>3</v>
      </c>
      <c r="B41" s="75" t="s">
        <v>4</v>
      </c>
      <c r="C41" s="75" t="s">
        <v>31</v>
      </c>
      <c r="D41" s="75" t="s">
        <v>32</v>
      </c>
      <c r="E41" s="3" t="s">
        <v>29</v>
      </c>
      <c r="F41" s="75" t="s">
        <v>5</v>
      </c>
      <c r="G41" s="78" t="s">
        <v>28</v>
      </c>
      <c r="H41" s="125" t="s">
        <v>64</v>
      </c>
      <c r="I41" s="126"/>
      <c r="J41" s="3" t="s">
        <v>84</v>
      </c>
      <c r="K41" s="3" t="s">
        <v>60</v>
      </c>
      <c r="L41" s="75" t="s">
        <v>27</v>
      </c>
    </row>
    <row r="42" spans="1:12">
      <c r="A42" s="99"/>
      <c r="B42" s="99"/>
      <c r="C42" s="99"/>
      <c r="D42" s="99"/>
      <c r="E42" s="3"/>
      <c r="F42" s="75"/>
      <c r="G42" s="8" t="s">
        <v>66</v>
      </c>
      <c r="H42" s="3" t="s">
        <v>62</v>
      </c>
      <c r="I42" s="3" t="s">
        <v>65</v>
      </c>
      <c r="J42" s="3"/>
      <c r="K42" s="3" t="s">
        <v>59</v>
      </c>
      <c r="L42" s="75"/>
    </row>
    <row r="43" spans="1:12">
      <c r="A43" s="11" t="s">
        <v>13</v>
      </c>
      <c r="B43" s="11" t="s">
        <v>14</v>
      </c>
      <c r="C43" s="11" t="s">
        <v>15</v>
      </c>
      <c r="D43" s="11" t="s">
        <v>16</v>
      </c>
      <c r="E43" s="12" t="s">
        <v>17</v>
      </c>
      <c r="F43" s="5" t="s">
        <v>18</v>
      </c>
      <c r="G43" s="5" t="s">
        <v>19</v>
      </c>
      <c r="H43" s="5" t="s">
        <v>22</v>
      </c>
      <c r="I43" s="5" t="s">
        <v>23</v>
      </c>
      <c r="J43" s="5"/>
      <c r="K43" s="5" t="s">
        <v>24</v>
      </c>
      <c r="L43" s="4" t="s">
        <v>25</v>
      </c>
    </row>
    <row r="44" spans="1:12">
      <c r="A44" s="6" t="s">
        <v>72</v>
      </c>
      <c r="B44" s="19"/>
      <c r="C44" s="7">
        <v>1.28</v>
      </c>
      <c r="D44" s="21"/>
      <c r="E44" s="7"/>
      <c r="F44" s="13"/>
      <c r="G44" s="6"/>
      <c r="H44" s="7"/>
      <c r="I44" s="7"/>
      <c r="J44" s="7"/>
      <c r="K44" s="7"/>
      <c r="L44" s="6"/>
    </row>
    <row r="45" spans="1:12">
      <c r="A45" s="6" t="s">
        <v>71</v>
      </c>
      <c r="B45" s="7">
        <v>32.299999999999997</v>
      </c>
      <c r="C45" s="20">
        <v>1.41</v>
      </c>
      <c r="D45" s="21">
        <f>(C44+C45)/2</f>
        <v>1.345</v>
      </c>
      <c r="E45" s="7">
        <f>B45*(D45+0.15)*D$4</f>
        <v>53.117349999999995</v>
      </c>
      <c r="F45" s="14">
        <v>1</v>
      </c>
      <c r="G45" s="7">
        <f>F45*D$4*1.1*C$20</f>
        <v>2.6703801117922827</v>
      </c>
      <c r="H45" s="7">
        <f>B45*D$4*D$7</f>
        <v>5.3295000000000003</v>
      </c>
      <c r="I45" s="7">
        <f>(B45*D$4*(D$5+0.3))-(0.785*D$5^2*B45)</f>
        <v>16.750779999999999</v>
      </c>
      <c r="J45" s="7">
        <f>(0.5*E45)-H45-I45</f>
        <v>4.478394999999999</v>
      </c>
      <c r="K45" s="7">
        <f>E45-G45-H45-I45-J45</f>
        <v>23.88829488820771</v>
      </c>
      <c r="L45" s="7">
        <f>I45+H45+J45</f>
        <v>26.558674999999997</v>
      </c>
    </row>
    <row r="46" spans="1:12">
      <c r="A46" s="6" t="s">
        <v>70</v>
      </c>
      <c r="B46" s="7">
        <v>52.9</v>
      </c>
      <c r="C46" s="20">
        <v>1.82</v>
      </c>
      <c r="D46" s="21">
        <f t="shared" ref="D46:D47" si="11">(C45+C46)/2</f>
        <v>1.615</v>
      </c>
      <c r="E46" s="7">
        <f t="shared" ref="E46:E47" si="12">B46*(D46+0.15)*D$4</f>
        <v>102.70535000000001</v>
      </c>
      <c r="F46" s="14">
        <v>1</v>
      </c>
      <c r="G46" s="7">
        <f t="shared" ref="G46:G47" si="13">F46*D$4*1.1*C$20</f>
        <v>2.6703801117922827</v>
      </c>
      <c r="H46" s="7">
        <f t="shared" ref="H46:H47" si="14">B46*D$4*D$7</f>
        <v>8.7285000000000004</v>
      </c>
      <c r="I46" s="7">
        <f t="shared" ref="I46:I47" si="15">(B46*D$4*(D$5+0.3))-(0.785*D$5^2*B46)</f>
        <v>27.433940000000003</v>
      </c>
      <c r="J46" s="7">
        <f t="shared" ref="J46:J47" si="16">(0.5*E46)-H46-I46</f>
        <v>15.190235000000005</v>
      </c>
      <c r="K46" s="7">
        <f t="shared" ref="K46:K47" si="17">E46-G46-H46-I46-J46</f>
        <v>48.682294888207721</v>
      </c>
      <c r="L46" s="7">
        <f t="shared" ref="L46:L47" si="18">I46+H46+J46</f>
        <v>51.352675000000005</v>
      </c>
    </row>
    <row r="47" spans="1:12">
      <c r="A47" s="6" t="s">
        <v>42</v>
      </c>
      <c r="B47" s="7">
        <v>52.9</v>
      </c>
      <c r="C47" s="7">
        <v>2.23</v>
      </c>
      <c r="D47" s="21">
        <f t="shared" si="11"/>
        <v>2.0249999999999999</v>
      </c>
      <c r="E47" s="7">
        <f t="shared" si="12"/>
        <v>126.56325</v>
      </c>
      <c r="F47" s="14">
        <v>2</v>
      </c>
      <c r="G47" s="7">
        <f t="shared" si="13"/>
        <v>5.3407602235845655</v>
      </c>
      <c r="H47" s="7">
        <f t="shared" si="14"/>
        <v>8.7285000000000004</v>
      </c>
      <c r="I47" s="7">
        <f t="shared" si="15"/>
        <v>27.433940000000003</v>
      </c>
      <c r="J47" s="7">
        <f t="shared" si="16"/>
        <v>27.119184999999991</v>
      </c>
      <c r="K47" s="7">
        <f t="shared" si="17"/>
        <v>57.940864776415438</v>
      </c>
      <c r="L47" s="7">
        <f t="shared" si="18"/>
        <v>63.281624999999991</v>
      </c>
    </row>
    <row r="48" spans="1:12">
      <c r="A48" s="6"/>
      <c r="B48" s="7">
        <f>SUM(B45:B47)</f>
        <v>138.1</v>
      </c>
      <c r="C48" s="127">
        <f>E48/D36/(B48)-0.15</f>
        <v>1.7089029688631427</v>
      </c>
      <c r="D48" s="128"/>
      <c r="E48" s="7">
        <f t="shared" ref="E48:L48" si="19">SUM(E45:E47)</f>
        <v>282.38594999999998</v>
      </c>
      <c r="F48" s="13">
        <f t="shared" si="19"/>
        <v>4</v>
      </c>
      <c r="G48" s="7">
        <f t="shared" si="19"/>
        <v>10.681520447169131</v>
      </c>
      <c r="H48" s="7">
        <f t="shared" si="19"/>
        <v>22.7865</v>
      </c>
      <c r="I48" s="7">
        <f t="shared" si="19"/>
        <v>71.618660000000006</v>
      </c>
      <c r="J48" s="7">
        <f t="shared" si="19"/>
        <v>46.787814999999995</v>
      </c>
      <c r="K48" s="7">
        <f t="shared" si="19"/>
        <v>130.51145455283086</v>
      </c>
      <c r="L48" s="7">
        <f t="shared" si="19"/>
        <v>141.19297499999999</v>
      </c>
    </row>
    <row r="49" spans="1:12">
      <c r="A49" s="121" t="s">
        <v>6</v>
      </c>
      <c r="B49" s="122"/>
      <c r="C49" s="122"/>
      <c r="D49" s="123"/>
      <c r="E49" s="7">
        <f>(E40*E36*1.3*C54)</f>
        <v>22.9008</v>
      </c>
      <c r="F49" s="116"/>
      <c r="G49" s="117"/>
      <c r="H49" s="7"/>
      <c r="I49" s="7"/>
      <c r="J49" s="7"/>
      <c r="K49" s="7"/>
      <c r="L49" s="6"/>
    </row>
    <row r="50" spans="1:12">
      <c r="A50" s="121" t="s">
        <v>61</v>
      </c>
      <c r="B50" s="122"/>
      <c r="C50" s="122"/>
      <c r="D50" s="123"/>
      <c r="E50" s="7"/>
      <c r="F50" s="116"/>
      <c r="G50" s="117"/>
      <c r="H50" s="7">
        <f>E40*E36*E36*E39</f>
        <v>2.3039999999999998</v>
      </c>
      <c r="I50" s="7"/>
      <c r="J50" s="7"/>
      <c r="K50" s="7"/>
      <c r="L50" s="6"/>
    </row>
    <row r="51" spans="1:12">
      <c r="A51" s="121" t="s">
        <v>7</v>
      </c>
      <c r="B51" s="122"/>
      <c r="C51" s="122"/>
      <c r="D51" s="123"/>
      <c r="E51" s="7"/>
      <c r="F51" s="116"/>
      <c r="G51" s="117"/>
      <c r="H51" s="7"/>
      <c r="I51" s="7">
        <f>(E40*E36*1.3*0.65)-(E40*0.785*(1.2^2)*0.65)</f>
        <v>5.1729599999999998</v>
      </c>
      <c r="J51" s="7"/>
      <c r="K51" s="7"/>
      <c r="L51" s="6"/>
    </row>
    <row r="52" spans="1:12">
      <c r="A52" s="113" t="s">
        <v>10</v>
      </c>
      <c r="B52" s="114"/>
      <c r="C52" s="114"/>
      <c r="D52" s="115"/>
      <c r="E52" s="7"/>
      <c r="F52" s="116"/>
      <c r="G52" s="117"/>
      <c r="H52" s="7"/>
      <c r="I52" s="7"/>
      <c r="J52" s="7">
        <f>(0.5*E49)-H50-I51</f>
        <v>3.9734400000000001</v>
      </c>
      <c r="K52" s="7">
        <f>E49-H50-I51-J52</f>
        <v>11.450400000000002</v>
      </c>
      <c r="L52" s="6"/>
    </row>
    <row r="53" spans="1:12">
      <c r="A53" s="118" t="s">
        <v>8</v>
      </c>
      <c r="B53" s="119"/>
      <c r="C53" s="119"/>
      <c r="D53" s="120"/>
      <c r="E53" s="7"/>
      <c r="F53" s="116"/>
      <c r="G53" s="117"/>
      <c r="H53" s="7"/>
      <c r="I53" s="7"/>
      <c r="J53" s="7"/>
      <c r="K53" s="7"/>
      <c r="L53" s="7">
        <f>H50+I51+J52</f>
        <v>11.4504</v>
      </c>
    </row>
    <row r="54" spans="1:12">
      <c r="A54" s="15" t="s">
        <v>43</v>
      </c>
      <c r="B54" s="73"/>
      <c r="C54" s="21">
        <f>(C45+C46+C44+C47)/E40+0.15</f>
        <v>1.835</v>
      </c>
      <c r="D54" s="74"/>
      <c r="E54" s="7">
        <f>SUM(E49:E52)</f>
        <v>22.9008</v>
      </c>
      <c r="F54" s="116"/>
      <c r="G54" s="117"/>
      <c r="H54" s="7"/>
      <c r="I54" s="7"/>
      <c r="J54" s="7"/>
      <c r="K54" s="7"/>
      <c r="L54" s="7"/>
    </row>
    <row r="55" spans="1:12" ht="15">
      <c r="A55" s="106" t="s">
        <v>9</v>
      </c>
      <c r="B55" s="107"/>
      <c r="C55" s="107"/>
      <c r="D55" s="108"/>
      <c r="E55" s="10">
        <f>SUM(E48:E53)</f>
        <v>305.28674999999998</v>
      </c>
      <c r="F55" s="109">
        <f>G48</f>
        <v>10.681520447169131</v>
      </c>
      <c r="G55" s="110"/>
      <c r="H55" s="9">
        <f>SUM(H48:H53)</f>
        <v>25.090499999999999</v>
      </c>
      <c r="I55" s="9">
        <f>SUM(I48:I53)</f>
        <v>76.791620000000009</v>
      </c>
      <c r="J55" s="9">
        <f t="shared" ref="J55:K55" si="20">SUM(J48:J53)</f>
        <v>50.761254999999991</v>
      </c>
      <c r="K55" s="9">
        <f t="shared" si="20"/>
        <v>141.96185455283086</v>
      </c>
      <c r="L55" s="9">
        <f>SUM(L48:L53)</f>
        <v>152.64337499999999</v>
      </c>
    </row>
    <row r="56" spans="1:12" ht="15">
      <c r="A56" s="22" t="s">
        <v>34</v>
      </c>
      <c r="B56" s="130">
        <v>0</v>
      </c>
      <c r="C56" s="22">
        <v>0</v>
      </c>
      <c r="D56" s="23"/>
      <c r="E56" s="16">
        <f>-(B56*C56*2)</f>
        <v>0</v>
      </c>
      <c r="F56" s="109"/>
      <c r="G56" s="110"/>
      <c r="H56" s="17"/>
      <c r="I56" s="17"/>
      <c r="J56" s="17"/>
      <c r="K56" s="17">
        <f>E56</f>
        <v>0</v>
      </c>
      <c r="L56" s="17">
        <v>0</v>
      </c>
    </row>
    <row r="57" spans="1:12" ht="15">
      <c r="A57" s="22" t="s">
        <v>63</v>
      </c>
      <c r="B57" s="130">
        <v>0</v>
      </c>
      <c r="C57" s="22">
        <v>0</v>
      </c>
      <c r="D57" s="23"/>
      <c r="E57" s="16">
        <f>-B57*C57*D$4</f>
        <v>0</v>
      </c>
      <c r="F57" s="109"/>
      <c r="G57" s="110"/>
      <c r="H57" s="17"/>
      <c r="I57" s="17"/>
      <c r="J57" s="17"/>
      <c r="K57" s="17">
        <f>E57*0.6</f>
        <v>0</v>
      </c>
      <c r="L57" s="17">
        <v>0</v>
      </c>
    </row>
    <row r="58" spans="1:12" ht="15">
      <c r="A58" s="61"/>
      <c r="B58" s="62"/>
      <c r="C58" s="62"/>
      <c r="D58" s="63" t="s">
        <v>35</v>
      </c>
      <c r="E58" s="18">
        <f>E55+E56+E57</f>
        <v>305.28674999999998</v>
      </c>
      <c r="F58" s="111">
        <f>F55</f>
        <v>10.681520447169131</v>
      </c>
      <c r="G58" s="112"/>
      <c r="H58" s="18">
        <f t="shared" ref="H58:K58" si="21">H55+H56+H57</f>
        <v>25.090499999999999</v>
      </c>
      <c r="I58" s="18">
        <f t="shared" si="21"/>
        <v>76.791620000000009</v>
      </c>
      <c r="J58" s="18">
        <f t="shared" si="21"/>
        <v>50.761254999999991</v>
      </c>
      <c r="K58" s="18">
        <f t="shared" si="21"/>
        <v>141.96185455283086</v>
      </c>
      <c r="L58" s="18">
        <f t="shared" ref="L58" si="22">L55+L56+L57</f>
        <v>152.64337499999999</v>
      </c>
    </row>
    <row r="59" spans="1:1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</row>
    <row r="60" spans="1:1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</row>
    <row r="61" spans="1:12" ht="15.75">
      <c r="A61" s="124" t="s">
        <v>49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</row>
    <row r="62" spans="1:12" ht="15">
      <c r="A62" s="42" t="s">
        <v>41</v>
      </c>
      <c r="B62" s="77"/>
      <c r="C62" s="77"/>
      <c r="D62" s="77"/>
      <c r="E62" s="44" t="s">
        <v>40</v>
      </c>
      <c r="F62" s="44"/>
      <c r="G62" s="44"/>
      <c r="H62" s="44"/>
      <c r="I62" s="58"/>
      <c r="J62" s="58"/>
      <c r="K62" s="77"/>
      <c r="L62" s="77"/>
    </row>
    <row r="63" spans="1:12" ht="15">
      <c r="A63" s="46" t="s">
        <v>30</v>
      </c>
      <c r="B63" s="77"/>
      <c r="C63" s="77"/>
      <c r="D63" s="48">
        <v>0.9</v>
      </c>
      <c r="E63" s="48">
        <v>2.2000000000000002</v>
      </c>
      <c r="F63" s="48"/>
      <c r="G63" s="48"/>
      <c r="H63" s="49"/>
      <c r="I63" s="49"/>
      <c r="J63" s="49"/>
      <c r="K63" s="77"/>
      <c r="L63" s="77"/>
    </row>
    <row r="64" spans="1:12">
      <c r="A64" s="46" t="s">
        <v>1</v>
      </c>
      <c r="B64" s="46"/>
      <c r="C64" s="46"/>
      <c r="D64" s="48">
        <v>1.1000000000000001</v>
      </c>
      <c r="E64" s="48">
        <v>2.4</v>
      </c>
      <c r="F64" s="48"/>
      <c r="G64" s="48"/>
      <c r="H64" s="48"/>
      <c r="I64" s="49"/>
      <c r="J64" s="49"/>
      <c r="K64" s="48"/>
      <c r="L64" s="46"/>
    </row>
    <row r="65" spans="1:12">
      <c r="A65" s="46" t="s">
        <v>2</v>
      </c>
      <c r="B65" s="46"/>
      <c r="C65" s="46"/>
      <c r="D65" s="48">
        <v>0.2</v>
      </c>
      <c r="E65" s="48"/>
      <c r="F65" s="48"/>
      <c r="G65" s="48"/>
      <c r="H65" s="48"/>
      <c r="I65" s="49"/>
      <c r="J65" s="49"/>
      <c r="K65" s="48"/>
      <c r="L65" s="46"/>
    </row>
    <row r="66" spans="1:12">
      <c r="A66" s="46" t="s">
        <v>11</v>
      </c>
      <c r="B66" s="46"/>
      <c r="C66" s="46"/>
      <c r="D66" s="48"/>
      <c r="E66" s="48">
        <v>1.2</v>
      </c>
      <c r="F66" s="48"/>
      <c r="G66" s="48"/>
      <c r="H66" s="48"/>
      <c r="I66" s="49"/>
      <c r="J66" s="49"/>
      <c r="K66" s="48"/>
      <c r="L66" s="46"/>
    </row>
    <row r="67" spans="1:12">
      <c r="A67" s="46" t="s">
        <v>26</v>
      </c>
      <c r="B67" s="46"/>
      <c r="C67" s="46"/>
      <c r="D67" s="48">
        <v>0.15</v>
      </c>
      <c r="E67" s="48">
        <v>0.1</v>
      </c>
      <c r="F67" s="48"/>
      <c r="G67" s="48"/>
      <c r="H67" s="48"/>
      <c r="I67" s="48"/>
      <c r="J67" s="48"/>
      <c r="K67" s="48"/>
      <c r="L67" s="46"/>
    </row>
    <row r="68" spans="1:12">
      <c r="A68" s="46" t="s">
        <v>12</v>
      </c>
      <c r="B68" s="59"/>
      <c r="C68" s="59"/>
      <c r="D68" s="48"/>
      <c r="E68" s="60">
        <v>4</v>
      </c>
      <c r="F68" s="60"/>
      <c r="G68" s="60"/>
      <c r="H68" s="60"/>
      <c r="I68" s="49"/>
      <c r="J68" s="49"/>
      <c r="K68" s="60"/>
      <c r="L68" s="59"/>
    </row>
    <row r="69" spans="1:12" ht="59.25">
      <c r="A69" s="75" t="s">
        <v>3</v>
      </c>
      <c r="B69" s="75" t="s">
        <v>4</v>
      </c>
      <c r="C69" s="75" t="s">
        <v>31</v>
      </c>
      <c r="D69" s="75" t="s">
        <v>32</v>
      </c>
      <c r="E69" s="3" t="s">
        <v>29</v>
      </c>
      <c r="F69" s="75" t="s">
        <v>5</v>
      </c>
      <c r="G69" s="78" t="s">
        <v>28</v>
      </c>
      <c r="H69" s="125" t="s">
        <v>64</v>
      </c>
      <c r="I69" s="126"/>
      <c r="J69" s="3" t="s">
        <v>84</v>
      </c>
      <c r="K69" s="3" t="s">
        <v>60</v>
      </c>
      <c r="L69" s="75" t="s">
        <v>27</v>
      </c>
    </row>
    <row r="70" spans="1:12">
      <c r="A70" s="99"/>
      <c r="B70" s="99"/>
      <c r="C70" s="99"/>
      <c r="D70" s="99"/>
      <c r="E70" s="3"/>
      <c r="F70" s="75"/>
      <c r="G70" s="8" t="s">
        <v>66</v>
      </c>
      <c r="H70" s="3" t="s">
        <v>62</v>
      </c>
      <c r="I70" s="3" t="s">
        <v>65</v>
      </c>
      <c r="J70" s="3"/>
      <c r="K70" s="3" t="s">
        <v>59</v>
      </c>
      <c r="L70" s="75"/>
    </row>
    <row r="71" spans="1:12">
      <c r="A71" s="11" t="s">
        <v>13</v>
      </c>
      <c r="B71" s="11" t="s">
        <v>14</v>
      </c>
      <c r="C71" s="11" t="s">
        <v>15</v>
      </c>
      <c r="D71" s="11" t="s">
        <v>16</v>
      </c>
      <c r="E71" s="12" t="s">
        <v>17</v>
      </c>
      <c r="F71" s="5" t="s">
        <v>18</v>
      </c>
      <c r="G71" s="5" t="s">
        <v>19</v>
      </c>
      <c r="H71" s="5" t="s">
        <v>22</v>
      </c>
      <c r="I71" s="5" t="s">
        <v>23</v>
      </c>
      <c r="J71" s="5"/>
      <c r="K71" s="5" t="s">
        <v>24</v>
      </c>
      <c r="L71" s="4" t="s">
        <v>25</v>
      </c>
    </row>
    <row r="72" spans="1:12">
      <c r="A72" s="6" t="s">
        <v>74</v>
      </c>
      <c r="B72" s="19"/>
      <c r="C72" s="7">
        <v>1.59</v>
      </c>
      <c r="D72" s="21"/>
      <c r="E72" s="7"/>
      <c r="F72" s="13"/>
      <c r="G72" s="6"/>
      <c r="H72" s="7"/>
      <c r="I72" s="7"/>
      <c r="J72" s="7"/>
      <c r="K72" s="7"/>
      <c r="L72" s="6"/>
    </row>
    <row r="73" spans="1:12">
      <c r="A73" s="6" t="s">
        <v>73</v>
      </c>
      <c r="B73" s="7">
        <v>39.6</v>
      </c>
      <c r="C73" s="20">
        <v>1.55</v>
      </c>
      <c r="D73" s="21">
        <f>(C72+C73)/2</f>
        <v>1.57</v>
      </c>
      <c r="E73" s="7">
        <f>B73*(D73+0.15)*D$4</f>
        <v>74.923199999999994</v>
      </c>
      <c r="F73" s="14">
        <v>1</v>
      </c>
      <c r="G73" s="7">
        <f>F73*D$4*1.1*C$20</f>
        <v>2.6703801117922827</v>
      </c>
      <c r="H73" s="7">
        <f>B73*D$4*D$7</f>
        <v>6.5339999999999998</v>
      </c>
      <c r="I73" s="7">
        <f>(B73*D$4*(D$5+0.3))-(0.785*D$5^2*B73)</f>
        <v>20.536560000000001</v>
      </c>
      <c r="J73" s="7">
        <f>(0.5*E73)-H73-I73</f>
        <v>10.391039999999997</v>
      </c>
      <c r="K73" s="7">
        <f>E73-G73-H73-I73-J73</f>
        <v>34.791219888207706</v>
      </c>
      <c r="L73" s="7">
        <f>I73+H73+J73</f>
        <v>37.461599999999997</v>
      </c>
    </row>
    <row r="74" spans="1:12">
      <c r="A74" s="6" t="s">
        <v>71</v>
      </c>
      <c r="B74" s="7">
        <v>39.700000000000003</v>
      </c>
      <c r="C74" s="7">
        <v>1.41</v>
      </c>
      <c r="D74" s="21">
        <f>(C73+C74)/2</f>
        <v>1.48</v>
      </c>
      <c r="E74" s="7">
        <f t="shared" ref="E74" si="23">B74*(D74+0.15)*D$4</f>
        <v>71.182100000000005</v>
      </c>
      <c r="F74" s="14">
        <v>0</v>
      </c>
      <c r="G74" s="7">
        <f t="shared" ref="G74" si="24">F74*D$4*1.1*C$20</f>
        <v>0</v>
      </c>
      <c r="H74" s="7">
        <f t="shared" ref="H74" si="25">B74*D$4*D$7</f>
        <v>6.5505000000000013</v>
      </c>
      <c r="I74" s="7">
        <f t="shared" ref="I74" si="26">(B74*D$4*(D$5+0.3))-(0.785*D$5^2*B74)</f>
        <v>20.588420000000003</v>
      </c>
      <c r="J74" s="7">
        <f>(0.5*E74)-H74-I74</f>
        <v>8.4521300000000004</v>
      </c>
      <c r="K74" s="7">
        <f>E74-G74-H74-I74-J74</f>
        <v>35.59105000000001</v>
      </c>
      <c r="L74" s="7">
        <f>I74+H74+J74</f>
        <v>35.59105000000001</v>
      </c>
    </row>
    <row r="75" spans="1:12">
      <c r="A75" s="6"/>
      <c r="B75" s="7">
        <f>SUM(B73:B74)</f>
        <v>79.300000000000011</v>
      </c>
      <c r="C75" s="127">
        <f>E75/D64/(B75)-0.15</f>
        <v>1.5249432534678433</v>
      </c>
      <c r="D75" s="128"/>
      <c r="E75" s="7">
        <f t="shared" ref="E75:L75" si="27">SUM(E73:E74)</f>
        <v>146.1053</v>
      </c>
      <c r="F75" s="13">
        <f t="shared" si="27"/>
        <v>1</v>
      </c>
      <c r="G75" s="7">
        <f t="shared" si="27"/>
        <v>2.6703801117922827</v>
      </c>
      <c r="H75" s="7">
        <f t="shared" si="27"/>
        <v>13.084500000000002</v>
      </c>
      <c r="I75" s="7">
        <f t="shared" si="27"/>
        <v>41.124980000000008</v>
      </c>
      <c r="J75" s="7">
        <f t="shared" si="27"/>
        <v>18.843169999999997</v>
      </c>
      <c r="K75" s="7">
        <f t="shared" si="27"/>
        <v>70.382269888207716</v>
      </c>
      <c r="L75" s="7">
        <f t="shared" si="27"/>
        <v>73.05265</v>
      </c>
    </row>
    <row r="76" spans="1:12">
      <c r="A76" s="121" t="s">
        <v>6</v>
      </c>
      <c r="B76" s="122"/>
      <c r="C76" s="122"/>
      <c r="D76" s="123"/>
      <c r="E76" s="7">
        <f>(E68*E64*1.3*C81)</f>
        <v>16.067999999999998</v>
      </c>
      <c r="F76" s="116"/>
      <c r="G76" s="117"/>
      <c r="H76" s="7"/>
      <c r="I76" s="7"/>
      <c r="J76" s="7"/>
      <c r="K76" s="7"/>
      <c r="L76" s="6"/>
    </row>
    <row r="77" spans="1:12">
      <c r="A77" s="121" t="s">
        <v>61</v>
      </c>
      <c r="B77" s="122"/>
      <c r="C77" s="122"/>
      <c r="D77" s="123"/>
      <c r="E77" s="7"/>
      <c r="F77" s="116"/>
      <c r="G77" s="117"/>
      <c r="H77" s="7">
        <f>E68*E64*E64*E67</f>
        <v>2.3039999999999998</v>
      </c>
      <c r="I77" s="7"/>
      <c r="J77" s="7"/>
      <c r="K77" s="7"/>
      <c r="L77" s="6"/>
    </row>
    <row r="78" spans="1:12">
      <c r="A78" s="121" t="s">
        <v>7</v>
      </c>
      <c r="B78" s="122"/>
      <c r="C78" s="122"/>
      <c r="D78" s="123"/>
      <c r="E78" s="7"/>
      <c r="F78" s="116"/>
      <c r="G78" s="117"/>
      <c r="H78" s="7"/>
      <c r="I78" s="7">
        <f>(E68*E64*1.3*0.65)-(E68*0.785*(1.2^2)*0.65)</f>
        <v>5.1729599999999998</v>
      </c>
      <c r="J78" s="7"/>
      <c r="K78" s="7"/>
      <c r="L78" s="6"/>
    </row>
    <row r="79" spans="1:12">
      <c r="A79" s="113" t="s">
        <v>10</v>
      </c>
      <c r="B79" s="114"/>
      <c r="C79" s="114"/>
      <c r="D79" s="115"/>
      <c r="E79" s="7"/>
      <c r="F79" s="116"/>
      <c r="G79" s="117"/>
      <c r="H79" s="7"/>
      <c r="I79" s="7"/>
      <c r="J79" s="7">
        <f>(0.5*E76)-H77-I78</f>
        <v>0.55703999999999887</v>
      </c>
      <c r="K79" s="7">
        <f>E76-H77-I78-J79</f>
        <v>8.0339999999999989</v>
      </c>
      <c r="L79" s="6"/>
    </row>
    <row r="80" spans="1:12">
      <c r="A80" s="118" t="s">
        <v>8</v>
      </c>
      <c r="B80" s="119"/>
      <c r="C80" s="119"/>
      <c r="D80" s="120"/>
      <c r="E80" s="7"/>
      <c r="F80" s="116"/>
      <c r="G80" s="117"/>
      <c r="H80" s="7"/>
      <c r="I80" s="7"/>
      <c r="J80" s="7"/>
      <c r="K80" s="7"/>
      <c r="L80" s="7">
        <f>H77+I78+J79</f>
        <v>8.0339999999999989</v>
      </c>
    </row>
    <row r="81" spans="1:12">
      <c r="A81" s="15" t="s">
        <v>43</v>
      </c>
      <c r="B81" s="73"/>
      <c r="C81" s="21">
        <f>(C73+C72+C74)/E68+0.15</f>
        <v>1.2874999999999999</v>
      </c>
      <c r="D81" s="74"/>
      <c r="E81" s="7">
        <f>SUM(E76:E79)</f>
        <v>16.067999999999998</v>
      </c>
      <c r="F81" s="116"/>
      <c r="G81" s="117"/>
      <c r="H81" s="7"/>
      <c r="I81" s="7"/>
      <c r="J81" s="7"/>
      <c r="K81" s="7"/>
      <c r="L81" s="7"/>
    </row>
    <row r="82" spans="1:12" ht="15">
      <c r="A82" s="106" t="s">
        <v>9</v>
      </c>
      <c r="B82" s="107"/>
      <c r="C82" s="107"/>
      <c r="D82" s="108"/>
      <c r="E82" s="10">
        <f>SUM(E75:E80)</f>
        <v>162.17329999999998</v>
      </c>
      <c r="F82" s="109">
        <f>G75</f>
        <v>2.6703801117922827</v>
      </c>
      <c r="G82" s="110"/>
      <c r="H82" s="9">
        <f>SUM(H75:H80)</f>
        <v>15.388500000000002</v>
      </c>
      <c r="I82" s="9">
        <f>SUM(I75:I80)</f>
        <v>46.297940000000011</v>
      </c>
      <c r="J82" s="9">
        <f t="shared" ref="J82:K82" si="28">SUM(J75:J80)</f>
        <v>19.400209999999994</v>
      </c>
      <c r="K82" s="9">
        <f t="shared" si="28"/>
        <v>78.416269888207722</v>
      </c>
      <c r="L82" s="9">
        <f>SUM(L75:L80)</f>
        <v>81.086649999999992</v>
      </c>
    </row>
    <row r="83" spans="1:12" ht="15">
      <c r="A83" s="22" t="s">
        <v>34</v>
      </c>
      <c r="B83" s="130">
        <v>0</v>
      </c>
      <c r="C83" s="22">
        <v>0</v>
      </c>
      <c r="D83" s="23"/>
      <c r="E83" s="16">
        <f>-(B83*C83*2)</f>
        <v>0</v>
      </c>
      <c r="F83" s="109"/>
      <c r="G83" s="110"/>
      <c r="H83" s="17"/>
      <c r="I83" s="17"/>
      <c r="J83" s="17"/>
      <c r="K83" s="17">
        <f>E83</f>
        <v>0</v>
      </c>
      <c r="L83" s="17">
        <v>0</v>
      </c>
    </row>
    <row r="84" spans="1:12" ht="15">
      <c r="A84" s="22" t="s">
        <v>63</v>
      </c>
      <c r="B84" s="130">
        <v>0</v>
      </c>
      <c r="C84" s="22">
        <v>0</v>
      </c>
      <c r="D84" s="23"/>
      <c r="E84" s="16">
        <f>-B84*C84*D$4</f>
        <v>0</v>
      </c>
      <c r="F84" s="109"/>
      <c r="G84" s="110"/>
      <c r="H84" s="17"/>
      <c r="I84" s="17"/>
      <c r="J84" s="17"/>
      <c r="K84" s="17">
        <f>E84*0.6</f>
        <v>0</v>
      </c>
      <c r="L84" s="17">
        <v>0</v>
      </c>
    </row>
    <row r="85" spans="1:12" ht="15">
      <c r="A85" s="61"/>
      <c r="B85" s="62"/>
      <c r="C85" s="62"/>
      <c r="D85" s="63" t="s">
        <v>35</v>
      </c>
      <c r="E85" s="18">
        <f>E82+E83+E84</f>
        <v>162.17329999999998</v>
      </c>
      <c r="F85" s="111">
        <f>F82</f>
        <v>2.6703801117922827</v>
      </c>
      <c r="G85" s="112"/>
      <c r="H85" s="18">
        <f t="shared" ref="H85:K85" si="29">H82+H83+H84</f>
        <v>15.388500000000002</v>
      </c>
      <c r="I85" s="18">
        <f t="shared" si="29"/>
        <v>46.297940000000011</v>
      </c>
      <c r="J85" s="18">
        <f t="shared" si="29"/>
        <v>19.400209999999994</v>
      </c>
      <c r="K85" s="18">
        <f t="shared" si="29"/>
        <v>78.416269888207722</v>
      </c>
      <c r="L85" s="18">
        <f t="shared" ref="L85" si="30">L82+L83+L84</f>
        <v>81.086649999999992</v>
      </c>
    </row>
    <row r="86" spans="1:12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</row>
    <row r="87" spans="1:12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</row>
    <row r="88" spans="1:12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</row>
    <row r="89" spans="1:12">
      <c r="A89" s="59"/>
      <c r="B89" s="101" t="s">
        <v>9</v>
      </c>
      <c r="C89" s="102"/>
      <c r="D89" s="103"/>
      <c r="E89" s="36">
        <f>E27+E55+E82</f>
        <v>1243.7698999999998</v>
      </c>
      <c r="F89" s="84">
        <f>F27+F55+F82</f>
        <v>21.363040894338262</v>
      </c>
      <c r="G89" s="85"/>
      <c r="H89" s="37">
        <f>H27+H55+H82</f>
        <v>90.841500000000011</v>
      </c>
      <c r="I89" s="37">
        <f t="shared" ref="I89:L89" si="31">I27+I55+I82</f>
        <v>277.24326000000008</v>
      </c>
      <c r="J89" s="37">
        <f t="shared" ref="J89:K89" si="32">J27+J55+J82</f>
        <v>253.80018999999996</v>
      </c>
      <c r="K89" s="37">
        <f t="shared" si="32"/>
        <v>600.52190910566173</v>
      </c>
      <c r="L89" s="37">
        <f t="shared" si="31"/>
        <v>621.88494999999989</v>
      </c>
    </row>
    <row r="90" spans="1:12">
      <c r="A90" s="59"/>
      <c r="B90" s="101" t="s">
        <v>48</v>
      </c>
      <c r="C90" s="102"/>
      <c r="D90" s="103"/>
      <c r="E90" s="40">
        <f>E30+E58+E85</f>
        <v>1243.7698999999998</v>
      </c>
      <c r="F90" s="86">
        <f>F30+F58+F85</f>
        <v>21.363040894338262</v>
      </c>
      <c r="G90" s="87"/>
      <c r="H90" s="40">
        <f>H30+H58+H85</f>
        <v>90.841500000000011</v>
      </c>
      <c r="I90" s="40">
        <f t="shared" ref="I90:L90" si="33">I30+I58+I85</f>
        <v>277.24326000000008</v>
      </c>
      <c r="J90" s="40">
        <f t="shared" ref="J90:K90" si="34">J30+J58+J85</f>
        <v>253.80018999999996</v>
      </c>
      <c r="K90" s="40">
        <f t="shared" si="34"/>
        <v>600.52190910566173</v>
      </c>
      <c r="L90" s="40">
        <f>L30+L58+L85</f>
        <v>621.88494999999989</v>
      </c>
    </row>
    <row r="91" spans="1:12" ht="57">
      <c r="A91" s="59"/>
      <c r="B91" s="91"/>
      <c r="C91" s="92"/>
      <c r="D91" s="92"/>
      <c r="E91" s="93"/>
      <c r="F91" s="104" t="s">
        <v>56</v>
      </c>
      <c r="G91" s="105"/>
      <c r="H91" s="89" t="s">
        <v>64</v>
      </c>
      <c r="I91" s="93"/>
      <c r="J91" s="3" t="s">
        <v>84</v>
      </c>
      <c r="K91" s="68" t="s">
        <v>60</v>
      </c>
      <c r="L91" s="75" t="s">
        <v>27</v>
      </c>
    </row>
  </sheetData>
  <mergeCells count="67">
    <mergeCell ref="F25:G25"/>
    <mergeCell ref="F30:G30"/>
    <mergeCell ref="F29:G29"/>
    <mergeCell ref="F28:G28"/>
    <mergeCell ref="F27:G27"/>
    <mergeCell ref="F26:G26"/>
    <mergeCell ref="A1:L1"/>
    <mergeCell ref="H9:I9"/>
    <mergeCell ref="A10:D10"/>
    <mergeCell ref="A33:L33"/>
    <mergeCell ref="H41:I41"/>
    <mergeCell ref="A24:D24"/>
    <mergeCell ref="A25:D25"/>
    <mergeCell ref="A27:D27"/>
    <mergeCell ref="C20:D20"/>
    <mergeCell ref="A21:D21"/>
    <mergeCell ref="A22:D22"/>
    <mergeCell ref="A23:D23"/>
    <mergeCell ref="F24:G24"/>
    <mergeCell ref="F23:G23"/>
    <mergeCell ref="F22:G22"/>
    <mergeCell ref="F21:G21"/>
    <mergeCell ref="A42:D42"/>
    <mergeCell ref="C48:D48"/>
    <mergeCell ref="A49:D49"/>
    <mergeCell ref="F49:G49"/>
    <mergeCell ref="A50:D50"/>
    <mergeCell ref="F50:G50"/>
    <mergeCell ref="A51:D51"/>
    <mergeCell ref="F51:G51"/>
    <mergeCell ref="A52:D52"/>
    <mergeCell ref="F52:G52"/>
    <mergeCell ref="A53:D53"/>
    <mergeCell ref="F53:G53"/>
    <mergeCell ref="F54:G54"/>
    <mergeCell ref="A55:D55"/>
    <mergeCell ref="F55:G55"/>
    <mergeCell ref="F56:G56"/>
    <mergeCell ref="F57:G57"/>
    <mergeCell ref="F58:G58"/>
    <mergeCell ref="A61:L61"/>
    <mergeCell ref="H69:I69"/>
    <mergeCell ref="A70:D70"/>
    <mergeCell ref="C75:D75"/>
    <mergeCell ref="A76:D76"/>
    <mergeCell ref="F76:G76"/>
    <mergeCell ref="A77:D77"/>
    <mergeCell ref="F77:G77"/>
    <mergeCell ref="A78:D78"/>
    <mergeCell ref="F78:G78"/>
    <mergeCell ref="A79:D79"/>
    <mergeCell ref="F79:G79"/>
    <mergeCell ref="A80:D80"/>
    <mergeCell ref="F80:G80"/>
    <mergeCell ref="F81:G81"/>
    <mergeCell ref="A82:D82"/>
    <mergeCell ref="F82:G82"/>
    <mergeCell ref="F83:G83"/>
    <mergeCell ref="F84:G84"/>
    <mergeCell ref="F85:G85"/>
    <mergeCell ref="H91:I91"/>
    <mergeCell ref="B89:D89"/>
    <mergeCell ref="F89:G89"/>
    <mergeCell ref="B90:D90"/>
    <mergeCell ref="F90:G90"/>
    <mergeCell ref="B91:E91"/>
    <mergeCell ref="F91:G91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SW</vt:lpstr>
      <vt:lpstr>KS </vt:lpstr>
      <vt:lpstr>'KS '!Obszar_wydruku</vt:lpstr>
      <vt:lpstr>SW!Obszar_wydruku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Kolektor</dc:creator>
  <cp:lastModifiedBy>Izabela</cp:lastModifiedBy>
  <cp:lastPrinted>2016-10-09T10:29:10Z</cp:lastPrinted>
  <dcterms:created xsi:type="dcterms:W3CDTF">2013-12-03T12:07:54Z</dcterms:created>
  <dcterms:modified xsi:type="dcterms:W3CDTF">2017-04-12T19:23:24Z</dcterms:modified>
</cp:coreProperties>
</file>